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healthreformsupport-my.sharepoint.com/personal/nkovalenko_hrs_net_ua/Documents/Kovalenko_N/03. E-tools/16. E-tool Fin stab/02. Fin Stab 1.0 Jan 2025/"/>
    </mc:Choice>
  </mc:AlternateContent>
  <xr:revisionPtr revIDLastSave="939" documentId="13_ncr:1_{A8D9024E-F35F-4DC2-8603-F6E45770F89E}" xr6:coauthVersionLast="47" xr6:coauthVersionMax="47" xr10:uidLastSave="{6340D821-D426-4340-A496-FE2C692DA06F}"/>
  <bookViews>
    <workbookView xWindow="-120" yWindow="-120" windowWidth="29040" windowHeight="15720" tabRatio="843" xr2:uid="{3555CC91-3F18-4A2C-A67C-0A659DD1A262}"/>
  </bookViews>
  <sheets>
    <sheet name="Титул" sheetId="7" r:id="rId1"/>
    <sheet name="ПМД_Вхідні_дані" sheetId="6" r:id="rId2"/>
    <sheet name="ПМД_Цільові_значення" sheetId="9" r:id="rId3"/>
    <sheet name="ПМД_Розрахунки" sheetId="4" r:id="rId4"/>
    <sheet name="СМД_Вхідні_дані" sheetId="13" r:id="rId5"/>
    <sheet name="CМД_Цільові_значення" sheetId="14" r:id="rId6"/>
    <sheet name="CМД_Розрахунки" sheetId="11" r:id="rId7"/>
    <sheet name="tech" sheetId="5" state="hidden" r:id="rId8"/>
  </sheets>
  <externalReferences>
    <externalReference r:id="rId9"/>
  </externalReferences>
  <definedNames>
    <definedName name="витр_мат">#REF!</definedName>
    <definedName name="ЄСВ">[1]Вхідні_дані!$H$2:$H$3</definedName>
    <definedName name="Лік_засоби">#REF!</definedName>
    <definedName name="мед_обл">#REF!</definedName>
    <definedName name="участь">#REF!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5" l="1"/>
  <c r="E7" i="9"/>
  <c r="I13" i="11"/>
  <c r="R13" i="11"/>
  <c r="AA13" i="11"/>
  <c r="N34" i="11"/>
  <c r="V34" i="4"/>
  <c r="V36" i="4"/>
  <c r="R34" i="11" l="1"/>
  <c r="R13" i="4"/>
  <c r="AA13" i="4"/>
  <c r="R27" i="4"/>
  <c r="C77" i="6"/>
  <c r="W34" i="11" l="1"/>
  <c r="W32" i="11"/>
  <c r="AA30" i="11"/>
  <c r="W30" i="11"/>
  <c r="W28" i="11"/>
  <c r="N32" i="11"/>
  <c r="N30" i="11"/>
  <c r="N28" i="11"/>
  <c r="E32" i="11"/>
  <c r="I32" i="11" s="1"/>
  <c r="I34" i="11"/>
  <c r="E34" i="11"/>
  <c r="W22" i="11"/>
  <c r="W19" i="11"/>
  <c r="W14" i="11"/>
  <c r="N22" i="11"/>
  <c r="R22" i="11" s="1"/>
  <c r="N19" i="11"/>
  <c r="N16" i="11"/>
  <c r="N14" i="11"/>
  <c r="E19" i="11"/>
  <c r="C77" i="13"/>
  <c r="C74" i="13"/>
  <c r="C39" i="13"/>
  <c r="C29" i="13"/>
  <c r="C15" i="13"/>
  <c r="C32" i="13" s="1"/>
  <c r="N28" i="4"/>
  <c r="N30" i="4"/>
  <c r="W22" i="4"/>
  <c r="W19" i="4"/>
  <c r="W16" i="4"/>
  <c r="W14" i="4"/>
  <c r="N22" i="4"/>
  <c r="N19" i="4"/>
  <c r="N16" i="4"/>
  <c r="N14" i="4"/>
  <c r="E16" i="4"/>
  <c r="C79" i="6"/>
  <c r="C78" i="6"/>
  <c r="B78" i="6"/>
  <c r="C81" i="6"/>
  <c r="C80" i="6"/>
  <c r="D37" i="4"/>
  <c r="C42" i="6"/>
  <c r="C35" i="6"/>
  <c r="C41" i="6" s="1"/>
  <c r="C19" i="6"/>
  <c r="C87" i="6" s="1"/>
  <c r="C14" i="6"/>
  <c r="D77" i="13"/>
  <c r="B77" i="13"/>
  <c r="L37" i="11" s="1"/>
  <c r="C76" i="13"/>
  <c r="D76" i="13"/>
  <c r="B76" i="13"/>
  <c r="L18" i="11"/>
  <c r="C73" i="13" l="1"/>
  <c r="M33" i="11" s="1"/>
  <c r="C72" i="13"/>
  <c r="C71" i="13"/>
  <c r="C11" i="13" l="1"/>
  <c r="C10" i="6"/>
  <c r="C32" i="6" s="1"/>
  <c r="M18" i="11" l="1"/>
  <c r="M37" i="11"/>
  <c r="C5" i="4"/>
  <c r="M18" i="4"/>
  <c r="D81" i="6"/>
  <c r="B81" i="6"/>
  <c r="C6" i="4"/>
  <c r="C49" i="13"/>
  <c r="Y34" i="11"/>
  <c r="X34" i="11"/>
  <c r="V34" i="11"/>
  <c r="U34" i="11"/>
  <c r="AA32" i="11"/>
  <c r="Y32" i="11"/>
  <c r="X32" i="11"/>
  <c r="V32" i="11"/>
  <c r="V33" i="11"/>
  <c r="U33" i="11"/>
  <c r="U32" i="11"/>
  <c r="Y30" i="11"/>
  <c r="X30" i="11"/>
  <c r="V30" i="11"/>
  <c r="V31" i="11"/>
  <c r="U31" i="11"/>
  <c r="U30" i="11"/>
  <c r="Y28" i="11"/>
  <c r="X28" i="11"/>
  <c r="V28" i="11"/>
  <c r="V29" i="11"/>
  <c r="U29" i="11"/>
  <c r="U28" i="11"/>
  <c r="P36" i="11"/>
  <c r="O36" i="11"/>
  <c r="P34" i="11"/>
  <c r="O34" i="11"/>
  <c r="M36" i="11"/>
  <c r="L36" i="11"/>
  <c r="M34" i="11"/>
  <c r="D74" i="13"/>
  <c r="C75" i="13"/>
  <c r="M35" i="11" s="1"/>
  <c r="D75" i="13"/>
  <c r="B75" i="13"/>
  <c r="L35" i="11" s="1"/>
  <c r="B74" i="13"/>
  <c r="L34" i="11" s="1"/>
  <c r="P32" i="11"/>
  <c r="O32" i="11"/>
  <c r="P30" i="11"/>
  <c r="O30" i="11"/>
  <c r="P28" i="11"/>
  <c r="O28" i="11"/>
  <c r="Q27" i="11"/>
  <c r="M32" i="11"/>
  <c r="L33" i="11"/>
  <c r="M31" i="11"/>
  <c r="M29" i="11"/>
  <c r="M30" i="11"/>
  <c r="M28" i="11"/>
  <c r="L31" i="11"/>
  <c r="L29" i="11"/>
  <c r="G34" i="11"/>
  <c r="F34" i="11"/>
  <c r="D35" i="11"/>
  <c r="C35" i="11"/>
  <c r="C34" i="11"/>
  <c r="G32" i="11"/>
  <c r="F32" i="11"/>
  <c r="D32" i="11"/>
  <c r="D33" i="11"/>
  <c r="C33" i="11"/>
  <c r="G30" i="11"/>
  <c r="F30" i="11"/>
  <c r="D31" i="11"/>
  <c r="C31" i="11"/>
  <c r="C30" i="11"/>
  <c r="G28" i="11"/>
  <c r="F28" i="11"/>
  <c r="D29" i="11"/>
  <c r="C29" i="11"/>
  <c r="C28" i="11"/>
  <c r="Y22" i="11"/>
  <c r="X22" i="11"/>
  <c r="V23" i="11"/>
  <c r="U23" i="11"/>
  <c r="Y20" i="11"/>
  <c r="X20" i="11"/>
  <c r="Y19" i="11"/>
  <c r="X19" i="11"/>
  <c r="V19" i="11"/>
  <c r="V20" i="11"/>
  <c r="V21" i="11"/>
  <c r="U20" i="11"/>
  <c r="U21" i="11"/>
  <c r="U19" i="11"/>
  <c r="Y16" i="11"/>
  <c r="X16" i="11"/>
  <c r="V16" i="11"/>
  <c r="V17" i="11"/>
  <c r="U17" i="11"/>
  <c r="U16" i="11"/>
  <c r="Y14" i="11"/>
  <c r="X14" i="11"/>
  <c r="C38" i="13"/>
  <c r="V14" i="11" s="1"/>
  <c r="D38" i="13"/>
  <c r="V15" i="11"/>
  <c r="D39" i="13"/>
  <c r="B39" i="13"/>
  <c r="U15" i="11" s="1"/>
  <c r="B38" i="13"/>
  <c r="U22" i="11" s="1"/>
  <c r="P22" i="11"/>
  <c r="O22" i="11"/>
  <c r="M23" i="11"/>
  <c r="M24" i="11"/>
  <c r="L24" i="11"/>
  <c r="L23" i="11"/>
  <c r="M22" i="11"/>
  <c r="D32" i="13"/>
  <c r="B32" i="13"/>
  <c r="L22" i="11" s="1"/>
  <c r="P19" i="11"/>
  <c r="O19" i="11"/>
  <c r="M19" i="11"/>
  <c r="M20" i="11"/>
  <c r="L20" i="11"/>
  <c r="L19" i="11"/>
  <c r="O17" i="11"/>
  <c r="P17" i="11"/>
  <c r="P16" i="11"/>
  <c r="O16" i="11"/>
  <c r="M16" i="11"/>
  <c r="M17" i="11"/>
  <c r="L17" i="11"/>
  <c r="L16" i="11"/>
  <c r="P14" i="11"/>
  <c r="O14" i="11"/>
  <c r="M14" i="11"/>
  <c r="M15" i="11"/>
  <c r="L15" i="11"/>
  <c r="L14" i="11"/>
  <c r="G22" i="11"/>
  <c r="F22" i="11"/>
  <c r="D22" i="11"/>
  <c r="D23" i="11"/>
  <c r="E22" i="11" s="1"/>
  <c r="C23" i="11"/>
  <c r="C22" i="11"/>
  <c r="G19" i="11"/>
  <c r="F19" i="11"/>
  <c r="D34" i="11" l="1"/>
  <c r="W16" i="11"/>
  <c r="AA16" i="11" s="1"/>
  <c r="D30" i="11"/>
  <c r="D28" i="11"/>
  <c r="E28" i="11" s="1"/>
  <c r="I28" i="11" s="1"/>
  <c r="R16" i="11"/>
  <c r="R14" i="11"/>
  <c r="R19" i="11"/>
  <c r="R28" i="11"/>
  <c r="R30" i="11"/>
  <c r="M35" i="4"/>
  <c r="AA28" i="11"/>
  <c r="R32" i="11"/>
  <c r="U14" i="11"/>
  <c r="V22" i="11"/>
  <c r="AA22" i="11" s="1"/>
  <c r="AA19" i="11"/>
  <c r="AA14" i="11"/>
  <c r="I22" i="11"/>
  <c r="D19" i="11"/>
  <c r="D20" i="11"/>
  <c r="C20" i="11"/>
  <c r="C19" i="11"/>
  <c r="G16" i="11"/>
  <c r="F16" i="11"/>
  <c r="D16" i="11"/>
  <c r="E16" i="11" s="1"/>
  <c r="D17" i="11"/>
  <c r="C17" i="11"/>
  <c r="C16" i="11"/>
  <c r="G14" i="11"/>
  <c r="F14" i="11"/>
  <c r="D14" i="11"/>
  <c r="E14" i="11" s="1"/>
  <c r="D15" i="11"/>
  <c r="C15" i="11"/>
  <c r="C14" i="11"/>
  <c r="C6" i="11"/>
  <c r="C5" i="11"/>
  <c r="B5" i="11"/>
  <c r="Y36" i="4"/>
  <c r="X36" i="4"/>
  <c r="W36" i="4"/>
  <c r="AA36" i="4" s="1"/>
  <c r="U36" i="4"/>
  <c r="Y32" i="4"/>
  <c r="X32" i="4"/>
  <c r="Y30" i="4"/>
  <c r="X30" i="4"/>
  <c r="Y28" i="4"/>
  <c r="X28" i="4"/>
  <c r="D91" i="6"/>
  <c r="C92" i="6"/>
  <c r="V29" i="4" s="1"/>
  <c r="D92" i="6"/>
  <c r="C93" i="6"/>
  <c r="V31" i="4" s="1"/>
  <c r="D93" i="6"/>
  <c r="C94" i="6"/>
  <c r="D94" i="6"/>
  <c r="B92" i="6"/>
  <c r="B93" i="6"/>
  <c r="B94" i="6"/>
  <c r="B91" i="6"/>
  <c r="B88" i="6"/>
  <c r="C88" i="6"/>
  <c r="V28" i="4" s="1"/>
  <c r="W28" i="4" s="1"/>
  <c r="AA28" i="4" s="1"/>
  <c r="D88" i="6"/>
  <c r="B89" i="6"/>
  <c r="C89" i="6"/>
  <c r="V30" i="4" s="1"/>
  <c r="W30" i="4" s="1"/>
  <c r="AA30" i="4" s="1"/>
  <c r="D89" i="6"/>
  <c r="B90" i="6"/>
  <c r="C90" i="6"/>
  <c r="V32" i="4" s="1"/>
  <c r="D90" i="6"/>
  <c r="D87" i="6"/>
  <c r="B87" i="6"/>
  <c r="M31" i="4"/>
  <c r="L31" i="4"/>
  <c r="M29" i="4"/>
  <c r="L29" i="4"/>
  <c r="P36" i="4"/>
  <c r="O36" i="4"/>
  <c r="M36" i="4"/>
  <c r="L37" i="4"/>
  <c r="O34" i="4"/>
  <c r="P34" i="4"/>
  <c r="P32" i="4"/>
  <c r="O32" i="4"/>
  <c r="M32" i="4"/>
  <c r="N32" i="4" s="1"/>
  <c r="L32" i="4"/>
  <c r="D80" i="6"/>
  <c r="M34" i="4"/>
  <c r="B80" i="6"/>
  <c r="L34" i="4" s="1"/>
  <c r="D79" i="6"/>
  <c r="M33" i="4"/>
  <c r="B79" i="6"/>
  <c r="L33" i="4" s="1"/>
  <c r="M30" i="4"/>
  <c r="P30" i="4"/>
  <c r="O30" i="4"/>
  <c r="M28" i="4"/>
  <c r="P28" i="4"/>
  <c r="O28" i="4"/>
  <c r="G36" i="4"/>
  <c r="F36" i="4"/>
  <c r="G32" i="4"/>
  <c r="F32" i="4"/>
  <c r="D34" i="4"/>
  <c r="C34" i="4"/>
  <c r="G30" i="4"/>
  <c r="F30" i="4"/>
  <c r="D31" i="4"/>
  <c r="C31" i="4"/>
  <c r="C30" i="4"/>
  <c r="G28" i="4"/>
  <c r="F28" i="4"/>
  <c r="D29" i="4"/>
  <c r="C29" i="4"/>
  <c r="C28" i="4"/>
  <c r="B5" i="4"/>
  <c r="Y22" i="4"/>
  <c r="X22" i="4"/>
  <c r="V23" i="4"/>
  <c r="U23" i="4"/>
  <c r="Y20" i="4"/>
  <c r="Y19" i="4"/>
  <c r="X20" i="4"/>
  <c r="X19" i="4"/>
  <c r="V19" i="4"/>
  <c r="V20" i="4"/>
  <c r="V21" i="4"/>
  <c r="U20" i="4"/>
  <c r="U21" i="4"/>
  <c r="U19" i="4"/>
  <c r="Y16" i="4"/>
  <c r="X16" i="4"/>
  <c r="V17" i="4"/>
  <c r="V16" i="4"/>
  <c r="U17" i="4"/>
  <c r="U16" i="4"/>
  <c r="X14" i="4"/>
  <c r="O22" i="4"/>
  <c r="O19" i="4"/>
  <c r="O17" i="4"/>
  <c r="O16" i="4"/>
  <c r="O14" i="4"/>
  <c r="F22" i="4"/>
  <c r="F19" i="4"/>
  <c r="F16" i="4"/>
  <c r="F14" i="4"/>
  <c r="Y14" i="4"/>
  <c r="V15" i="4"/>
  <c r="D42" i="6"/>
  <c r="B42" i="6"/>
  <c r="U15" i="4" s="1"/>
  <c r="P22" i="4"/>
  <c r="M23" i="4"/>
  <c r="M24" i="4"/>
  <c r="L24" i="4"/>
  <c r="L23" i="4"/>
  <c r="V14" i="4"/>
  <c r="D35" i="6"/>
  <c r="D41" i="6" s="1"/>
  <c r="B35" i="6"/>
  <c r="L22" i="4" s="1"/>
  <c r="P19" i="4"/>
  <c r="M19" i="4"/>
  <c r="M20" i="4"/>
  <c r="L20" i="4"/>
  <c r="L19" i="4"/>
  <c r="P17" i="4"/>
  <c r="P16" i="4"/>
  <c r="M16" i="4"/>
  <c r="M17" i="4"/>
  <c r="L17" i="4"/>
  <c r="L16" i="4"/>
  <c r="P14" i="4"/>
  <c r="M14" i="4"/>
  <c r="M15" i="4"/>
  <c r="L14" i="4"/>
  <c r="L15" i="4"/>
  <c r="G22" i="4"/>
  <c r="D23" i="4"/>
  <c r="C23" i="4"/>
  <c r="D22" i="4"/>
  <c r="C22" i="4"/>
  <c r="G19" i="4"/>
  <c r="D20" i="4"/>
  <c r="D19" i="4"/>
  <c r="C20" i="4"/>
  <c r="C19" i="4"/>
  <c r="G16" i="4"/>
  <c r="D18" i="4"/>
  <c r="D17" i="4"/>
  <c r="D16" i="4"/>
  <c r="C14" i="4"/>
  <c r="D14" i="4"/>
  <c r="C15" i="4"/>
  <c r="C17" i="4"/>
  <c r="C18" i="4"/>
  <c r="C16" i="4"/>
  <c r="G14" i="4"/>
  <c r="W32" i="4" l="1"/>
  <c r="AA32" i="4" s="1"/>
  <c r="AA27" i="4" s="1"/>
  <c r="E30" i="11"/>
  <c r="I30" i="11" s="1"/>
  <c r="I14" i="11"/>
  <c r="R32" i="4"/>
  <c r="R16" i="4"/>
  <c r="AA19" i="4"/>
  <c r="E22" i="4"/>
  <c r="I22" i="4" s="1"/>
  <c r="R30" i="4"/>
  <c r="E19" i="4"/>
  <c r="I19" i="4" s="1"/>
  <c r="I19" i="11"/>
  <c r="R28" i="4"/>
  <c r="AA16" i="4"/>
  <c r="V22" i="4"/>
  <c r="R19" i="4"/>
  <c r="AA14" i="4"/>
  <c r="B41" i="6"/>
  <c r="M22" i="4"/>
  <c r="R22" i="4" s="1"/>
  <c r="R14" i="4"/>
  <c r="I16" i="4"/>
  <c r="H13" i="11"/>
  <c r="M37" i="4"/>
  <c r="N36" i="4" l="1"/>
  <c r="R36" i="4" s="1"/>
  <c r="AA22" i="4"/>
  <c r="D15" i="4"/>
  <c r="U14" i="4"/>
  <c r="U22" i="4"/>
  <c r="C55" i="5"/>
  <c r="AA34" i="11"/>
  <c r="I16" i="11"/>
  <c r="Z27" i="11"/>
  <c r="H27" i="11"/>
  <c r="Z13" i="11"/>
  <c r="Q13" i="11"/>
  <c r="C61" i="6"/>
  <c r="C91" i="6" l="1"/>
  <c r="C55" i="6"/>
  <c r="C52" i="6" s="1"/>
  <c r="C67" i="5"/>
  <c r="E14" i="4"/>
  <c r="I14" i="4" s="1"/>
  <c r="D32" i="4"/>
  <c r="E32" i="4" s="1"/>
  <c r="I32" i="4" s="1"/>
  <c r="D36" i="4"/>
  <c r="C52" i="5"/>
  <c r="AA27" i="11"/>
  <c r="C62" i="5" s="1"/>
  <c r="C65" i="5"/>
  <c r="C66" i="5"/>
  <c r="R27" i="11"/>
  <c r="C63" i="5" s="1"/>
  <c r="I27" i="11"/>
  <c r="C64" i="5" s="1"/>
  <c r="I13" i="4" l="1"/>
  <c r="C56" i="5" s="1"/>
  <c r="E36" i="4"/>
  <c r="I36" i="4" s="1"/>
  <c r="C7" i="11"/>
  <c r="C8" i="11" s="1"/>
  <c r="D28" i="4"/>
  <c r="E28" i="4" s="1"/>
  <c r="I28" i="4" s="1"/>
  <c r="D30" i="4"/>
  <c r="C51" i="5"/>
  <c r="E30" i="4" l="1"/>
  <c r="I30" i="4" s="1"/>
  <c r="I27" i="4" s="1"/>
  <c r="C53" i="5" l="1"/>
  <c r="C54" i="5"/>
  <c r="C7" i="4"/>
  <c r="C8" i="4" s="1"/>
  <c r="Q27" i="4"/>
  <c r="Z27" i="4"/>
  <c r="Z13" i="4"/>
  <c r="Q13" i="4"/>
  <c r="H27" i="4"/>
  <c r="H13" i="4"/>
</calcChain>
</file>

<file path=xl/sharedStrings.xml><?xml version="1.0" encoding="utf-8"?>
<sst xmlns="http://schemas.openxmlformats.org/spreadsheetml/2006/main" count="733" uniqueCount="305">
  <si>
    <t>Назва показника</t>
  </si>
  <si>
    <t>абсолютна</t>
  </si>
  <si>
    <t>нормальна</t>
  </si>
  <si>
    <t>задовільна</t>
  </si>
  <si>
    <t>незадовільна</t>
  </si>
  <si>
    <t>Оплата праці</t>
  </si>
  <si>
    <t>Доходи</t>
  </si>
  <si>
    <t>Назва закладу:</t>
  </si>
  <si>
    <t>Показники фінансової стійкості надавача ПМД</t>
  </si>
  <si>
    <t>Пацієнти</t>
  </si>
  <si>
    <t>Умовні позначення</t>
  </si>
  <si>
    <t>дані потребують заповнення</t>
  </si>
  <si>
    <t>показник розраховується автоматично</t>
  </si>
  <si>
    <t>Проєкт USAID «Підтримка реформи охорони здоров’я»</t>
  </si>
  <si>
    <t>Цей документ підготовлено за підтримки Агентства США з міжнародного розвитку (USAID), наданої від імені народу Сполучених Штатів Америки. Відповідальність за зміст цього документу, який необов'язково відображає погляди USAID, Уряду Сполучених Штатів Америки, несе виключно компанія ТОВ «Делойт Консалтинг» у межах контракту №72012118C00001.</t>
  </si>
  <si>
    <t xml:space="preserve">   </t>
  </si>
  <si>
    <t>Результативність</t>
  </si>
  <si>
    <t>Цільові значення показників фінансової стійкості надавача ПМД</t>
  </si>
  <si>
    <t>Результативні значення</t>
  </si>
  <si>
    <t>Розрахункова оцінка фінансової стійкості закладу</t>
  </si>
  <si>
    <t>Автономна Республіка Крим</t>
  </si>
  <si>
    <t>Вінницька</t>
  </si>
  <si>
    <t>Волинська</t>
  </si>
  <si>
    <t>Дніпропетровська</t>
  </si>
  <si>
    <t>Донецька</t>
  </si>
  <si>
    <t>Житомирська</t>
  </si>
  <si>
    <t>Закарпатська</t>
  </si>
  <si>
    <t>Запорізька</t>
  </si>
  <si>
    <t>Івано-Франківська</t>
  </si>
  <si>
    <t>Київська</t>
  </si>
  <si>
    <t>Кіровоградська</t>
  </si>
  <si>
    <t>Луганська</t>
  </si>
  <si>
    <t>Львівська</t>
  </si>
  <si>
    <t>Миколаївська</t>
  </si>
  <si>
    <t>Одеська</t>
  </si>
  <si>
    <t>Полтавська</t>
  </si>
  <si>
    <t>Рівненська</t>
  </si>
  <si>
    <t>Сумська</t>
  </si>
  <si>
    <t>Тернопільська</t>
  </si>
  <si>
    <t>Харківська</t>
  </si>
  <si>
    <t>Херсонська</t>
  </si>
  <si>
    <t>Хмельницька</t>
  </si>
  <si>
    <t>Черкаська</t>
  </si>
  <si>
    <t>Чернівецька</t>
  </si>
  <si>
    <t>Чернігівська</t>
  </si>
  <si>
    <t>м. Київ</t>
  </si>
  <si>
    <t>Значення показника за звітний період</t>
  </si>
  <si>
    <t>Цільові значення</t>
  </si>
  <si>
    <t>Цільові значення показників фінансової стійкості надавача CМД</t>
  </si>
  <si>
    <t>Загальні доходи закладу (грн)</t>
  </si>
  <si>
    <t>Кількість підписаних декларацій з лікарями ПМД (од.)</t>
  </si>
  <si>
    <t>Джерело інформації</t>
  </si>
  <si>
    <t>Чисельність персоналу, що працює більше 1 року (ос.)</t>
  </si>
  <si>
    <t>Загальна чисельність персоналу закладу (ос.)</t>
  </si>
  <si>
    <t>Чисельність персоналу, звільненого за власним бажанням (ос.)</t>
  </si>
  <si>
    <t>Вхідні дані надавача ПМД</t>
  </si>
  <si>
    <t>Витрати на оплату праці (грн)</t>
  </si>
  <si>
    <t>Відрахування на соціальні заходи (грн)</t>
  </si>
  <si>
    <t>лікарів ПМД (грн)</t>
  </si>
  <si>
    <t>середнього медичного персоналу (грн)</t>
  </si>
  <si>
    <t>всього по закладу (грн)</t>
  </si>
  <si>
    <t>лікарів-терапевтів</t>
  </si>
  <si>
    <t>Кількість лікарів ПМД (ос.):</t>
  </si>
  <si>
    <t>лікарів загальної практики-сімейних лікарів</t>
  </si>
  <si>
    <t>лікарів-педіатрів</t>
  </si>
  <si>
    <t>у лікарів загальної практики-сімейних лікарів (од.)</t>
  </si>
  <si>
    <t>у лікарів-терапевтів (од.)</t>
  </si>
  <si>
    <t>у лікарів-педіатрів (од.)</t>
  </si>
  <si>
    <t>Дашборд НСЗУ</t>
  </si>
  <si>
    <t>Кількість лікарів ПМД, які отримали щонайменше 50 балів БПР (за рік) (ос.)</t>
  </si>
  <si>
    <t>Звітність закладу</t>
  </si>
  <si>
    <t>Частка скарг пацієнтів з виявленими порушеннями (%)</t>
  </si>
  <si>
    <t>&gt;</t>
  </si>
  <si>
    <t>&lt;</t>
  </si>
  <si>
    <t>=</t>
  </si>
  <si>
    <t>Показники фінансової стійкості надавача CМД</t>
  </si>
  <si>
    <t>Вхідні дані надавача СМД</t>
  </si>
  <si>
    <t>Надходження від місцевих бюджетів (грн)</t>
  </si>
  <si>
    <t>Кількість лікарів, які отримали щонайменше 50 балів БПР (за рік) (ос.)</t>
  </si>
  <si>
    <t>Чисельність персоналу віком до 44 років (ос.)</t>
  </si>
  <si>
    <t>лікарів (грн)</t>
  </si>
  <si>
    <t>Загальна кількість ліжок закладу (од.)</t>
  </si>
  <si>
    <t>Кількість пацієнтів, які були повторно госпіталізовані протягом місяця з приводу одного і того ж захворювання до того ж самого відділення закладу (ос.)</t>
  </si>
  <si>
    <t>Загальна кількість госпіталізованих пацієнтів (ос.)</t>
  </si>
  <si>
    <t>Кількість прооперованих пацієнтів, які померли (ос.)</t>
  </si>
  <si>
    <t>Загальна кількість пацієнтів, які були прооперовані (ос.)</t>
  </si>
  <si>
    <t>Fin_Stab 1.0: Базовий електронний інструмент з оцінки фінансової стійкості закладів охорони здоров'я</t>
  </si>
  <si>
    <t>Дашборд  НСЗУ/Дані МІС</t>
  </si>
  <si>
    <t>орієнтири (цільові значення, вагові значення)</t>
  </si>
  <si>
    <t>Витрати</t>
  </si>
  <si>
    <t>Результат для фін.стійкості</t>
  </si>
  <si>
    <t>Персонал</t>
  </si>
  <si>
    <t>Дефініція</t>
  </si>
  <si>
    <t>Звітність закладу
1нс, таблиця 4</t>
  </si>
  <si>
    <t>Звітність закладу
1нс, додаток "Доходи ПМГ"</t>
  </si>
  <si>
    <r>
      <t xml:space="preserve">Дохід за пакетом Програми медичних гарантій "Первинна медична допомога" у розрахунку на одну підписану декларацію </t>
    </r>
    <r>
      <rPr>
        <i/>
        <sz val="12"/>
        <rFont val="Times New Roman"/>
        <family val="1"/>
        <charset val="204"/>
      </rPr>
      <t>(грн на 1 декларацію)</t>
    </r>
  </si>
  <si>
    <r>
      <t xml:space="preserve">Питома вага доходів за Програмою медичних гарантій (всі пакети) у загальних доходах закладу </t>
    </r>
    <r>
      <rPr>
        <i/>
        <sz val="12"/>
        <rFont val="Times New Roman"/>
        <family val="1"/>
        <charset val="204"/>
      </rPr>
      <t>(%)</t>
    </r>
  </si>
  <si>
    <r>
      <t xml:space="preserve">Співвідношення короткострокової дебіторської та кредиторської заборгованості </t>
    </r>
    <r>
      <rPr>
        <i/>
        <sz val="12"/>
        <rFont val="Times New Roman"/>
        <family val="1"/>
        <charset val="204"/>
      </rPr>
      <t>(коефіцієнт)</t>
    </r>
  </si>
  <si>
    <r>
      <t>Питома вага доходів від надання послуг за кошти фізичних і юридичних осіб у загальних доходах закладу</t>
    </r>
    <r>
      <rPr>
        <i/>
        <sz val="12"/>
        <rFont val="Times New Roman"/>
        <family val="1"/>
        <charset val="204"/>
      </rPr>
      <t xml:space="preserve"> (%)</t>
    </r>
  </si>
  <si>
    <r>
      <t xml:space="preserve">Коефіцієнт окупності виробничих витрат </t>
    </r>
    <r>
      <rPr>
        <i/>
        <sz val="12"/>
        <rFont val="Times New Roman"/>
        <family val="1"/>
        <charset val="204"/>
      </rPr>
      <t>(коефіцієнт)</t>
    </r>
  </si>
  <si>
    <t>&gt;=</t>
  </si>
  <si>
    <t>&lt;=</t>
  </si>
  <si>
    <r>
      <t>Кількість середньомісячних запасів лікарських засобів та виробів медичного призначення на складі на кінець періоду</t>
    </r>
    <r>
      <rPr>
        <sz val="12"/>
        <rFont val="Times New Roman"/>
        <family val="1"/>
        <charset val="204"/>
      </rPr>
      <t xml:space="preserve"> </t>
    </r>
    <r>
      <rPr>
        <i/>
        <sz val="12"/>
        <rFont val="Times New Roman"/>
        <family val="1"/>
        <charset val="204"/>
      </rPr>
      <t>(міс.)</t>
    </r>
  </si>
  <si>
    <t>Дебіторська заборгованість за продукцію, товари, роботи, послуги (грн)</t>
  </si>
  <si>
    <t>Поточна кредиторська заборгованість за товари, роботи і послуги (грн)</t>
  </si>
  <si>
    <t>Дохід від реалізації товарів робіт і послуг (грн)</t>
  </si>
  <si>
    <t>Сума загальних витрат закладу (грн)</t>
  </si>
  <si>
    <t>Звітність закладу
1нс, таблиця 6</t>
  </si>
  <si>
    <t>Звітність закладу
1нс, таблиця 3</t>
  </si>
  <si>
    <t>Звітність закладу
1нс, звіт 9</t>
  </si>
  <si>
    <t>Звітність закладу
1нс, таблиця 5.1</t>
  </si>
  <si>
    <r>
      <t xml:space="preserve">Питома вага капітальних інвестицій у загальних витратах закладу </t>
    </r>
    <r>
      <rPr>
        <i/>
        <sz val="12"/>
        <rFont val="Times New Roman"/>
        <family val="1"/>
        <charset val="204"/>
      </rPr>
      <t>(%)</t>
    </r>
  </si>
  <si>
    <t>Капітальні інвестиції (грн)</t>
  </si>
  <si>
    <r>
      <t xml:space="preserve">Коефіцієнт трудоємності </t>
    </r>
    <r>
      <rPr>
        <i/>
        <sz val="12"/>
        <rFont val="Times New Roman"/>
        <family val="1"/>
        <charset val="204"/>
      </rPr>
      <t>(коефіцієнт)</t>
    </r>
  </si>
  <si>
    <t>Показник характеризує яка частка витрат на оплату праці в 1 гривні загального доходу закладу.</t>
  </si>
  <si>
    <r>
      <t xml:space="preserve">Фінансовий результат закладу </t>
    </r>
    <r>
      <rPr>
        <i/>
        <sz val="12"/>
        <rFont val="Times New Roman"/>
        <family val="1"/>
        <charset val="204"/>
      </rPr>
      <t>(грн)</t>
    </r>
  </si>
  <si>
    <r>
      <t xml:space="preserve">Ступінь зносу основних засобів </t>
    </r>
    <r>
      <rPr>
        <i/>
        <sz val="12"/>
        <rFont val="Times New Roman"/>
        <family val="1"/>
        <charset val="204"/>
      </rPr>
      <t>(%)</t>
    </r>
  </si>
  <si>
    <t xml:space="preserve">Показник характеризує якість фінансової політики закладу. Показник враховує вплив кредиторської та дебіторської заборгованості на ліквідність і платоспроможність. Збалансованість грошових потоків у процесі розрахунків з постачальниками позитивно впливає на фінансовий стан закладу. Оптимальним значенням показника є значення, яке приблизно дорівнює одиниці. </t>
  </si>
  <si>
    <t>Запаси лікарських засобів та виробів медичного призначення на кінець періоду (грн)</t>
  </si>
  <si>
    <t>Поточні фінансові інвестиції (грн)</t>
  </si>
  <si>
    <t>Гроші та їх еквіваленти (грн)</t>
  </si>
  <si>
    <t>Поточні зобов’язання і забезпечення (грн)</t>
  </si>
  <si>
    <r>
      <t xml:space="preserve">Дохідність основних засобів </t>
    </r>
    <r>
      <rPr>
        <i/>
        <sz val="12"/>
        <rFont val="Times New Roman"/>
        <family val="1"/>
        <charset val="204"/>
      </rPr>
      <t>(%)</t>
    </r>
  </si>
  <si>
    <t>Показник характеризує ефективність використання активів підприємства для генерації доходу.</t>
  </si>
  <si>
    <t>Кількість середнього медичного персоналу (ос.)</t>
  </si>
  <si>
    <t>Показник характеризує сталість колективу закладу, який працює більше 1 року, адже у такому випадку скоріше за все цей персонал і надалі працюватиме у закладі.</t>
  </si>
  <si>
    <r>
      <t xml:space="preserve">Постійність кадрів </t>
    </r>
    <r>
      <rPr>
        <i/>
        <sz val="12"/>
        <rFont val="Times New Roman"/>
        <family val="1"/>
        <charset val="204"/>
      </rPr>
      <t>(%)</t>
    </r>
  </si>
  <si>
    <r>
      <t xml:space="preserve">Плинність кадрів </t>
    </r>
    <r>
      <rPr>
        <i/>
        <sz val="12"/>
        <rFont val="Times New Roman"/>
        <family val="1"/>
        <charset val="204"/>
      </rPr>
      <t>(%)</t>
    </r>
  </si>
  <si>
    <r>
      <t xml:space="preserve">Коефіцієнт перекваліфікації (підвищення кваліфікації) персоналу </t>
    </r>
    <r>
      <rPr>
        <i/>
        <sz val="12"/>
        <rFont val="Times New Roman"/>
        <family val="1"/>
        <charset val="204"/>
      </rPr>
      <t>(%)</t>
    </r>
  </si>
  <si>
    <r>
      <t xml:space="preserve">Кількість середнього медичного персоналу </t>
    </r>
    <r>
      <rPr>
        <i/>
        <sz val="12"/>
        <rFont val="Times New Roman"/>
        <family val="1"/>
        <charset val="204"/>
      </rPr>
      <t>у розрахунку на 1 лікаря ПМД</t>
    </r>
  </si>
  <si>
    <t>Середньомісячна заробітна плата штатних працівників:</t>
  </si>
  <si>
    <t>Звітність закладу
1нс, таблиця 8.1</t>
  </si>
  <si>
    <t>Виробничі витрати (грн)</t>
  </si>
  <si>
    <r>
      <t xml:space="preserve">Середнє співвідношення середньомісячної заробітної плати лікарів закладу із встановленим мінімальним розміром оплати праці </t>
    </r>
    <r>
      <rPr>
        <i/>
        <sz val="12"/>
        <rFont val="Times New Roman"/>
        <family val="1"/>
        <charset val="204"/>
      </rPr>
      <t>(%)</t>
    </r>
  </si>
  <si>
    <r>
      <t xml:space="preserve">Середнє співвідношення середньомісячної заробітної плати середнього медичного персоналу закладу із встановленим мінімальним розміром оплати праці </t>
    </r>
    <r>
      <rPr>
        <i/>
        <sz val="12"/>
        <rFont val="Times New Roman"/>
        <family val="1"/>
        <charset val="204"/>
      </rPr>
      <t>(%)</t>
    </r>
  </si>
  <si>
    <r>
      <t xml:space="preserve">Кількість середньомісячних фондів оплати праці забезпечених залишками грошових коштів </t>
    </r>
    <r>
      <rPr>
        <i/>
        <sz val="12"/>
        <rFont val="Times New Roman"/>
        <family val="1"/>
        <charset val="204"/>
      </rPr>
      <t>(од.)</t>
    </r>
  </si>
  <si>
    <r>
      <t>Співвідношення середньої заробітної плати працівників закладу до середньомісячної заробітної плати по регіону</t>
    </r>
    <r>
      <rPr>
        <i/>
        <sz val="12"/>
        <rFont val="Times New Roman"/>
        <family val="1"/>
        <charset val="204"/>
      </rPr>
      <t xml:space="preserve"> (%)</t>
    </r>
  </si>
  <si>
    <r>
      <t xml:space="preserve">Середня кількість задекларованих пацієнтів у розрахунку на одного лікаря загальної практики-сімейного лікаря </t>
    </r>
    <r>
      <rPr>
        <i/>
        <sz val="12"/>
        <rFont val="Times New Roman"/>
        <family val="1"/>
        <charset val="204"/>
      </rPr>
      <t>(декларацій на 1 лікаря)</t>
    </r>
  </si>
  <si>
    <r>
      <t>Середня кількість задекларованих пацієнтів у розрахунку на одного лікаря-терапевта</t>
    </r>
    <r>
      <rPr>
        <i/>
        <sz val="12"/>
        <rFont val="Times New Roman"/>
        <family val="1"/>
        <charset val="204"/>
      </rPr>
      <t xml:space="preserve"> (декларацій на 1 лікаря)</t>
    </r>
  </si>
  <si>
    <r>
      <t xml:space="preserve">Середня кількість задекларованих пацієнтів у розрахунку на одного лікаря-педіатра </t>
    </r>
    <r>
      <rPr>
        <i/>
        <sz val="12"/>
        <rFont val="Times New Roman"/>
        <family val="1"/>
        <charset val="204"/>
      </rPr>
      <t>(декларацій на 1 лікаря)</t>
    </r>
  </si>
  <si>
    <t>Капітальні інвестиції є важливим фактором розширеного відтворення основних засобів та інших необоротних активів підприємства. Для стабільного функціонування закладу капітальні інвестиції мають здійснюватися на регулярній основі.</t>
  </si>
  <si>
    <t>Показник показує різницю між доходами та витратами закладу у звітному періоді і характеризує всі сторони фінансово-господарської діяльності підприємства. Оптимальне значення - це перевищення доходів над витратами у звітному періоді.</t>
  </si>
  <si>
    <t>Показник характеризує рух персоналу у закладі, який обумовлений незадоволеністю працівників якими-небудь елементами виробничої ситуації або незадоволеністю адміністрації виробничою поведінкою працівника.</t>
  </si>
  <si>
    <t>Показник характеризує якісне зростання персоналу та використання можливостей щодо вдосконалення знань, умінь та навиків за спеціальністю, оволодіння функціональними обов'язками, які впливатимуть на підвищення продуктивності праці та загальної ефективності роботи всього закладу.</t>
  </si>
  <si>
    <t>Показник характеризує оптимальну кількість середнього медичного персоналу, який входить до команди надання ПМД.</t>
  </si>
  <si>
    <t>Показник характеризує рівень конкурентоспроможності закладу забезпечувати своїх працівників відповідним рівнем заробітної плати порівняно з регіональними показниками.</t>
  </si>
  <si>
    <t>Показник відображає виконання закладом обов’язків за договором про медичне обслуговування населення на користь пацієнтів (забезпечувати реалізацію пацієнтами їхніх прав на отримання медичних послуг; забезпечувати захист персональних даних пацієнтів; використовувати для надання медичних послуг лікарські засоби та медичні вироби, що дозволені до застосування в Україні та ін.).</t>
  </si>
  <si>
    <t>Показник характеризує частку фінансування в рамках Програми медичних гарантій у загальному доході закладу. Оптимальний показник - оптимальна частка з урахуванням інших джерел доходів закладу.</t>
  </si>
  <si>
    <r>
      <t xml:space="preserve">Питома вага доходів від надання послуг за кошти фізичних і юридичних осіб у загальних доходах закладу </t>
    </r>
    <r>
      <rPr>
        <i/>
        <sz val="12"/>
        <rFont val="Times New Roman"/>
        <family val="1"/>
        <charset val="204"/>
      </rPr>
      <t>(%)</t>
    </r>
  </si>
  <si>
    <r>
      <t>Питома вага надходжень від місцевих бюджетів</t>
    </r>
    <r>
      <rPr>
        <i/>
        <sz val="12"/>
        <rFont val="Times New Roman"/>
        <family val="1"/>
        <charset val="204"/>
      </rPr>
      <t xml:space="preserve"> (%)</t>
    </r>
  </si>
  <si>
    <t>Залишкова вартість основних засобів (грн)</t>
  </si>
  <si>
    <t>Сума зносу основних засобів (грн)</t>
  </si>
  <si>
    <t>Первісна вартість основних засобів (грн)</t>
  </si>
  <si>
    <r>
      <t xml:space="preserve">Кадровий потенціал </t>
    </r>
    <r>
      <rPr>
        <i/>
        <sz val="12"/>
        <rFont val="Times New Roman"/>
        <family val="1"/>
        <charset val="204"/>
      </rPr>
      <t>(%)</t>
    </r>
  </si>
  <si>
    <t>Показник характеризує результативність роботи як безпосередньо персоналу, так і управлінську спроможність реалізувати даний кадровий потенціал.</t>
  </si>
  <si>
    <t>Показник характеризує ефективність використання ліжкового фонду, оцінювання доступності, якості та ефективності діагностичної та лікувальної роботи.</t>
  </si>
  <si>
    <t>Показник характеризує пов'язаність кількості пацієнтів із якістю медичної допомоги, що надається. Водночас, якщо у деяких випадках повторна госпіталізація є частиною лікувального плану і тому є бажаною, то в інших випадках вона свідчить про недостатньо якісне лікування внаслідок скорочення термінів перебування пацієнта у стаціонарі та дострокової виписки.</t>
  </si>
  <si>
    <t>Показник характеризує клінічну ефективність роботи та моніторинг стану пацієнта після проведених операційних втручань.</t>
  </si>
  <si>
    <t>Вхідні дані для обрахунків у блоці "Доходи"</t>
  </si>
  <si>
    <t>Вхідні дані для обрахунку</t>
  </si>
  <si>
    <t>Розрахунковий показник закладу</t>
  </si>
  <si>
    <r>
      <t xml:space="preserve">Вагове </t>
    </r>
    <r>
      <rPr>
        <u/>
        <sz val="18"/>
        <rFont val="Times New Roman"/>
        <family val="1"/>
        <charset val="204"/>
      </rPr>
      <t>цільове</t>
    </r>
    <r>
      <rPr>
        <sz val="18"/>
        <rFont val="Times New Roman"/>
        <family val="1"/>
        <charset val="204"/>
      </rPr>
      <t xml:space="preserve"> значення</t>
    </r>
  </si>
  <si>
    <r>
      <rPr>
        <b/>
        <u/>
        <sz val="18"/>
        <color theme="1"/>
        <rFont val="Times New Roman"/>
        <family val="1"/>
        <charset val="204"/>
      </rPr>
      <t>Цільове</t>
    </r>
    <r>
      <rPr>
        <b/>
        <sz val="18"/>
        <color theme="1"/>
        <rFont val="Times New Roman"/>
        <family val="1"/>
        <charset val="204"/>
      </rPr>
      <t xml:space="preserve"> значення показника</t>
    </r>
  </si>
  <si>
    <r>
      <rPr>
        <b/>
        <sz val="18"/>
        <rFont val="Times New Roman"/>
        <family val="1"/>
        <charset val="204"/>
      </rPr>
      <t>Дохід за пакетом Програми медичних гарантій "Первинна медична допомога" у розрахунку на одну підписану декларацію</t>
    </r>
    <r>
      <rPr>
        <i/>
        <sz val="18"/>
        <rFont val="Times New Roman"/>
        <family val="1"/>
        <charset val="204"/>
      </rPr>
      <t xml:space="preserve"> (грн на 1 декларацію)</t>
    </r>
  </si>
  <si>
    <r>
      <rPr>
        <b/>
        <sz val="18"/>
        <rFont val="Times New Roman"/>
        <family val="1"/>
        <charset val="204"/>
      </rPr>
      <t>Питома вага доходів за Програмою медичних гарантій (всі пакети) у загальних доходах закладу</t>
    </r>
    <r>
      <rPr>
        <sz val="18"/>
        <rFont val="Times New Roman"/>
        <family val="1"/>
        <charset val="204"/>
      </rPr>
      <t xml:space="preserve"> </t>
    </r>
    <r>
      <rPr>
        <i/>
        <sz val="18"/>
        <rFont val="Times New Roman"/>
        <family val="1"/>
        <charset val="204"/>
      </rPr>
      <t>(%)</t>
    </r>
  </si>
  <si>
    <r>
      <rPr>
        <b/>
        <sz val="18"/>
        <rFont val="Times New Roman"/>
        <family val="1"/>
        <charset val="204"/>
      </rPr>
      <t>Співвідношення короткострокової дебіторської та кредиторської заборгованості</t>
    </r>
    <r>
      <rPr>
        <sz val="18"/>
        <rFont val="Times New Roman"/>
        <family val="1"/>
        <charset val="204"/>
      </rPr>
      <t xml:space="preserve"> </t>
    </r>
    <r>
      <rPr>
        <i/>
        <sz val="18"/>
        <rFont val="Times New Roman"/>
        <family val="1"/>
        <charset val="204"/>
      </rPr>
      <t>(коефіцієнт)</t>
    </r>
  </si>
  <si>
    <r>
      <rPr>
        <b/>
        <sz val="18"/>
        <rFont val="Times New Roman"/>
        <family val="1"/>
        <charset val="204"/>
      </rPr>
      <t>Питома вага доходів від надання послуг за кошти фізичних і юридичних осіб у загальних доходах закладу</t>
    </r>
    <r>
      <rPr>
        <i/>
        <sz val="18"/>
        <rFont val="Times New Roman"/>
        <family val="1"/>
        <charset val="204"/>
      </rPr>
      <t xml:space="preserve"> (%)</t>
    </r>
  </si>
  <si>
    <t>Вхідні дані для обрахунків у блоці "Витрати"</t>
  </si>
  <si>
    <r>
      <rPr>
        <b/>
        <sz val="18"/>
        <rFont val="Times New Roman"/>
        <family val="1"/>
        <charset val="204"/>
      </rPr>
      <t>Коефіцієнт окупності виробничих витрат</t>
    </r>
    <r>
      <rPr>
        <i/>
        <sz val="18"/>
        <rFont val="Times New Roman"/>
        <family val="1"/>
        <charset val="204"/>
      </rPr>
      <t xml:space="preserve"> (коефіцієнт)</t>
    </r>
  </si>
  <si>
    <r>
      <rPr>
        <b/>
        <sz val="18"/>
        <rFont val="Times New Roman"/>
        <family val="1"/>
        <charset val="204"/>
      </rPr>
      <t>Кількість середньомісячних запасів лікарських засобів та виробів медичного призначення на складі на кінець періоду</t>
    </r>
    <r>
      <rPr>
        <sz val="18"/>
        <rFont val="Times New Roman"/>
        <family val="1"/>
        <charset val="204"/>
      </rPr>
      <t xml:space="preserve"> </t>
    </r>
    <r>
      <rPr>
        <i/>
        <sz val="18"/>
        <rFont val="Times New Roman"/>
        <family val="1"/>
        <charset val="204"/>
      </rPr>
      <t>(міс.)</t>
    </r>
  </si>
  <si>
    <r>
      <rPr>
        <b/>
        <sz val="18"/>
        <rFont val="Times New Roman"/>
        <family val="1"/>
        <charset val="204"/>
      </rPr>
      <t>Питома вага капітальних інвестицій у загальних витратах закладу</t>
    </r>
    <r>
      <rPr>
        <sz val="18"/>
        <rFont val="Times New Roman"/>
        <family val="1"/>
        <charset val="204"/>
      </rPr>
      <t xml:space="preserve"> </t>
    </r>
    <r>
      <rPr>
        <i/>
        <sz val="18"/>
        <rFont val="Times New Roman"/>
        <family val="1"/>
        <charset val="204"/>
      </rPr>
      <t>(%)</t>
    </r>
  </si>
  <si>
    <r>
      <rPr>
        <b/>
        <sz val="18"/>
        <rFont val="Times New Roman"/>
        <family val="1"/>
        <charset val="204"/>
      </rPr>
      <t>Коефіцієнт трудоємності</t>
    </r>
    <r>
      <rPr>
        <sz val="18"/>
        <rFont val="Times New Roman"/>
        <family val="1"/>
        <charset val="204"/>
      </rPr>
      <t xml:space="preserve"> </t>
    </r>
    <r>
      <rPr>
        <i/>
        <sz val="18"/>
        <rFont val="Times New Roman"/>
        <family val="1"/>
        <charset val="204"/>
      </rPr>
      <t>(коефіцієнт)</t>
    </r>
  </si>
  <si>
    <r>
      <rPr>
        <b/>
        <sz val="18"/>
        <rFont val="Times New Roman"/>
        <family val="1"/>
        <charset val="204"/>
      </rPr>
      <t xml:space="preserve">Фінансовий результат закладу </t>
    </r>
    <r>
      <rPr>
        <i/>
        <sz val="18"/>
        <rFont val="Times New Roman"/>
        <family val="1"/>
        <charset val="204"/>
      </rPr>
      <t>(грн)</t>
    </r>
  </si>
  <si>
    <r>
      <rPr>
        <b/>
        <sz val="18"/>
        <rFont val="Times New Roman"/>
        <family val="1"/>
        <charset val="204"/>
      </rPr>
      <t>Ступінь зносу основних засобі</t>
    </r>
    <r>
      <rPr>
        <sz val="18"/>
        <rFont val="Times New Roman"/>
        <family val="1"/>
        <charset val="204"/>
      </rPr>
      <t xml:space="preserve">в </t>
    </r>
    <r>
      <rPr>
        <i/>
        <sz val="18"/>
        <rFont val="Times New Roman"/>
        <family val="1"/>
        <charset val="204"/>
      </rPr>
      <t>(%)</t>
    </r>
  </si>
  <si>
    <r>
      <rPr>
        <b/>
        <sz val="18"/>
        <rFont val="Times New Roman"/>
        <family val="1"/>
        <charset val="204"/>
      </rPr>
      <t>Дохідність основних засобів</t>
    </r>
    <r>
      <rPr>
        <sz val="18"/>
        <rFont val="Times New Roman"/>
        <family val="1"/>
        <charset val="204"/>
      </rPr>
      <t xml:space="preserve"> </t>
    </r>
    <r>
      <rPr>
        <i/>
        <sz val="18"/>
        <rFont val="Times New Roman"/>
        <family val="1"/>
        <charset val="204"/>
      </rPr>
      <t>(%)</t>
    </r>
  </si>
  <si>
    <t>Вхідні дані для обрахунків у блоці "Результативність"</t>
  </si>
  <si>
    <r>
      <rPr>
        <b/>
        <sz val="18"/>
        <rFont val="Times New Roman"/>
        <family val="1"/>
        <charset val="204"/>
      </rPr>
      <t>Постійність кадрів</t>
    </r>
    <r>
      <rPr>
        <i/>
        <sz val="18"/>
        <rFont val="Times New Roman"/>
        <family val="1"/>
        <charset val="204"/>
      </rPr>
      <t xml:space="preserve"> (%)</t>
    </r>
  </si>
  <si>
    <r>
      <rPr>
        <b/>
        <sz val="18"/>
        <rFont val="Times New Roman"/>
        <family val="1"/>
        <charset val="204"/>
      </rPr>
      <t>Плинність кадрів</t>
    </r>
    <r>
      <rPr>
        <i/>
        <sz val="18"/>
        <rFont val="Times New Roman"/>
        <family val="1"/>
        <charset val="204"/>
      </rPr>
      <t xml:space="preserve"> (%)</t>
    </r>
  </si>
  <si>
    <r>
      <rPr>
        <b/>
        <sz val="18"/>
        <rFont val="Times New Roman"/>
        <family val="1"/>
        <charset val="204"/>
      </rPr>
      <t>Коефіцієнт перекваліфікації (підвищення кваліфікації) персоналу</t>
    </r>
    <r>
      <rPr>
        <i/>
        <sz val="18"/>
        <rFont val="Times New Roman"/>
        <family val="1"/>
        <charset val="204"/>
      </rPr>
      <t xml:space="preserve"> (%)</t>
    </r>
  </si>
  <si>
    <r>
      <rPr>
        <b/>
        <sz val="18"/>
        <rFont val="Times New Roman"/>
        <family val="1"/>
        <charset val="204"/>
      </rPr>
      <t>Кількість середнього медичного персоналу</t>
    </r>
    <r>
      <rPr>
        <sz val="18"/>
        <rFont val="Times New Roman"/>
        <family val="1"/>
        <charset val="204"/>
      </rPr>
      <t xml:space="preserve"> </t>
    </r>
    <r>
      <rPr>
        <i/>
        <sz val="18"/>
        <rFont val="Times New Roman"/>
        <family val="1"/>
        <charset val="204"/>
      </rPr>
      <t>у розрахунку на 1 лікаря ПМД</t>
    </r>
  </si>
  <si>
    <t>Вхідні дані для обрахунків у блоці "Персонал"</t>
  </si>
  <si>
    <r>
      <rPr>
        <b/>
        <sz val="18"/>
        <rFont val="Times New Roman"/>
        <family val="1"/>
        <charset val="204"/>
      </rPr>
      <t xml:space="preserve">Середнє співвідношення середньомісячної заробітної плати лікарів закладу із встановленим мінімальним розміром оплати праці </t>
    </r>
    <r>
      <rPr>
        <i/>
        <sz val="18"/>
        <rFont val="Times New Roman"/>
        <family val="1"/>
        <charset val="204"/>
      </rPr>
      <t>(%)</t>
    </r>
  </si>
  <si>
    <r>
      <rPr>
        <b/>
        <sz val="18"/>
        <rFont val="Times New Roman"/>
        <family val="1"/>
        <charset val="204"/>
      </rPr>
      <t>Середнє співвідношення середньомісячної заробітної плати середнього медичного персоналу закладу із встановленим мінімальним розміром оплати праці</t>
    </r>
    <r>
      <rPr>
        <i/>
        <sz val="18"/>
        <rFont val="Times New Roman"/>
        <family val="1"/>
        <charset val="204"/>
      </rPr>
      <t xml:space="preserve"> (%)</t>
    </r>
  </si>
  <si>
    <r>
      <rPr>
        <b/>
        <sz val="18"/>
        <rFont val="Times New Roman"/>
        <family val="1"/>
        <charset val="204"/>
      </rPr>
      <t>Кількість середньомісячних фондів оплати праці забезпечених залишками грошових коштів</t>
    </r>
    <r>
      <rPr>
        <sz val="18"/>
        <rFont val="Times New Roman"/>
        <family val="1"/>
        <charset val="204"/>
      </rPr>
      <t xml:space="preserve"> </t>
    </r>
    <r>
      <rPr>
        <i/>
        <sz val="18"/>
        <rFont val="Times New Roman"/>
        <family val="1"/>
        <charset val="204"/>
      </rPr>
      <t>(од.)</t>
    </r>
  </si>
  <si>
    <t>Вхідні дані для обрахунків у блоці "Оплата праці"</t>
  </si>
  <si>
    <t>Середньомісячна заробітна плата лікарів ПМД (грн)</t>
  </si>
  <si>
    <t>Середньомісячна заробітна плата середнього медичного персоналу (грн)</t>
  </si>
  <si>
    <t>Середньомісячна заробітна плата по закладу (грн)</t>
  </si>
  <si>
    <t>Постанова КМУ від 13.01.2023 №28 (редакція станом на 31.12.2024)</t>
  </si>
  <si>
    <t>Вхідні дані для обрахунків у блоці "Пацієнти"</t>
  </si>
  <si>
    <r>
      <rPr>
        <b/>
        <sz val="18"/>
        <rFont val="Times New Roman"/>
        <family val="1"/>
        <charset val="204"/>
      </rPr>
      <t>Середня кількість задекларованих пацієнтів у розрахунку на одного лікаря загальної практики-сімейного лікаря</t>
    </r>
    <r>
      <rPr>
        <sz val="18"/>
        <rFont val="Times New Roman"/>
        <family val="1"/>
        <charset val="204"/>
      </rPr>
      <t xml:space="preserve"> </t>
    </r>
    <r>
      <rPr>
        <i/>
        <sz val="18"/>
        <rFont val="Times New Roman"/>
        <family val="1"/>
        <charset val="204"/>
      </rPr>
      <t>(декларацій на 1 лікаря)</t>
    </r>
  </si>
  <si>
    <r>
      <rPr>
        <b/>
        <sz val="18"/>
        <rFont val="Times New Roman"/>
        <family val="1"/>
        <charset val="204"/>
      </rPr>
      <t>Середня кількість задекларованих пацієнтів у розрахунку на одного лікаря-терапевта</t>
    </r>
    <r>
      <rPr>
        <i/>
        <sz val="18"/>
        <rFont val="Times New Roman"/>
        <family val="1"/>
        <charset val="204"/>
      </rPr>
      <t xml:space="preserve"> (декларацій на 1 лікаря)</t>
    </r>
  </si>
  <si>
    <r>
      <rPr>
        <b/>
        <sz val="18"/>
        <rFont val="Times New Roman"/>
        <family val="1"/>
        <charset val="204"/>
      </rPr>
      <t>Середня кількість задекларованих пацієнтів у розрахунку на одного лікаря-педіатра</t>
    </r>
    <r>
      <rPr>
        <sz val="18"/>
        <rFont val="Times New Roman"/>
        <family val="1"/>
        <charset val="204"/>
      </rPr>
      <t xml:space="preserve"> </t>
    </r>
    <r>
      <rPr>
        <i/>
        <sz val="18"/>
        <rFont val="Times New Roman"/>
        <family val="1"/>
        <charset val="204"/>
      </rPr>
      <t>(декларацій на 1 лікаря)</t>
    </r>
  </si>
  <si>
    <t>Кількість підписаних декларацій у лікарів загальної практики-сімейних лікарів (од.)</t>
  </si>
  <si>
    <t>Кількість лікарів загальної практики-сімейних лікарів (ос.)</t>
  </si>
  <si>
    <t>Кількість підписаних декларацій у лікарів-терапевтів (од.)</t>
  </si>
  <si>
    <t>Кількість лікарів-терапевтів (ос.)</t>
  </si>
  <si>
    <t>Кількість підписаних декларацій у лікарів-педіатрів (од.)</t>
  </si>
  <si>
    <t>Кількість лікарів-педіатрів (ос.)</t>
  </si>
  <si>
    <t>Дата проведення обрахунку:</t>
  </si>
  <si>
    <r>
      <t xml:space="preserve">Вагове </t>
    </r>
    <r>
      <rPr>
        <u/>
        <sz val="12"/>
        <rFont val="Times New Roman"/>
        <family val="1"/>
        <charset val="204"/>
      </rPr>
      <t>цільове</t>
    </r>
    <r>
      <rPr>
        <sz val="12"/>
        <rFont val="Times New Roman"/>
        <family val="1"/>
        <charset val="204"/>
      </rPr>
      <t xml:space="preserve"> значення</t>
    </r>
  </si>
  <si>
    <r>
      <rPr>
        <b/>
        <sz val="18"/>
        <rFont val="Times New Roman"/>
        <family val="1"/>
        <charset val="204"/>
      </rPr>
      <t>Питома вага доходів від надання послуг за кошти фізичних і юридичних осіб у загальних доходах закладу</t>
    </r>
    <r>
      <rPr>
        <sz val="18"/>
        <rFont val="Times New Roman"/>
        <family val="1"/>
        <charset val="204"/>
      </rPr>
      <t xml:space="preserve"> (%)</t>
    </r>
  </si>
  <si>
    <r>
      <rPr>
        <b/>
        <sz val="18"/>
        <rFont val="Times New Roman"/>
        <family val="1"/>
        <charset val="204"/>
      </rPr>
      <t>Питома вага надходжень від місцевих бюджетів</t>
    </r>
    <r>
      <rPr>
        <sz val="18"/>
        <rFont val="Times New Roman"/>
        <family val="1"/>
        <charset val="204"/>
      </rPr>
      <t xml:space="preserve"> </t>
    </r>
    <r>
      <rPr>
        <i/>
        <sz val="18"/>
        <rFont val="Times New Roman"/>
        <family val="1"/>
        <charset val="204"/>
      </rPr>
      <t>(%)</t>
    </r>
  </si>
  <si>
    <r>
      <rPr>
        <b/>
        <sz val="18"/>
        <rFont val="Times New Roman"/>
        <family val="1"/>
        <charset val="204"/>
      </rPr>
      <t>Ступінь зносу основних засобів</t>
    </r>
    <r>
      <rPr>
        <sz val="18"/>
        <rFont val="Times New Roman"/>
        <family val="1"/>
        <charset val="204"/>
      </rPr>
      <t xml:space="preserve"> </t>
    </r>
    <r>
      <rPr>
        <i/>
        <sz val="18"/>
        <rFont val="Times New Roman"/>
        <family val="1"/>
        <charset val="204"/>
      </rPr>
      <t>(%)</t>
    </r>
  </si>
  <si>
    <r>
      <rPr>
        <b/>
        <sz val="18"/>
        <rFont val="Times New Roman"/>
        <family val="1"/>
        <charset val="204"/>
      </rPr>
      <t>Плинність кадрів</t>
    </r>
    <r>
      <rPr>
        <b/>
        <i/>
        <sz val="18"/>
        <rFont val="Times New Roman"/>
        <family val="1"/>
        <charset val="204"/>
      </rPr>
      <t xml:space="preserve"> </t>
    </r>
    <r>
      <rPr>
        <i/>
        <sz val="18"/>
        <rFont val="Times New Roman"/>
        <family val="1"/>
        <charset val="204"/>
      </rPr>
      <t>(%)</t>
    </r>
  </si>
  <si>
    <r>
      <rPr>
        <b/>
        <sz val="18"/>
        <rFont val="Times New Roman"/>
        <family val="1"/>
        <charset val="204"/>
      </rPr>
      <t>Кадровий потенціал</t>
    </r>
    <r>
      <rPr>
        <sz val="18"/>
        <rFont val="Times New Roman"/>
        <family val="1"/>
        <charset val="204"/>
      </rPr>
      <t xml:space="preserve"> </t>
    </r>
    <r>
      <rPr>
        <i/>
        <sz val="18"/>
        <rFont val="Times New Roman"/>
        <family val="1"/>
        <charset val="204"/>
      </rPr>
      <t>(%)</t>
    </r>
  </si>
  <si>
    <t>лікарі</t>
  </si>
  <si>
    <t>середній медичний персонал</t>
  </si>
  <si>
    <t>молодшого медичного персоналу (грн)</t>
  </si>
  <si>
    <t>молодший медичний персонал</t>
  </si>
  <si>
    <t>Середньомісячна заробітна плата молодшого медичного персоналу (грн)</t>
  </si>
  <si>
    <r>
      <rPr>
        <b/>
        <sz val="18"/>
        <rFont val="Times New Roman"/>
        <family val="1"/>
        <charset val="204"/>
      </rPr>
      <t xml:space="preserve">Середнє співвідношення середньомісячної заробітної плати </t>
    </r>
    <r>
      <rPr>
        <b/>
        <u/>
        <sz val="18"/>
        <rFont val="Times New Roman"/>
        <family val="1"/>
        <charset val="204"/>
      </rPr>
      <t>лікарів</t>
    </r>
    <r>
      <rPr>
        <b/>
        <sz val="18"/>
        <rFont val="Times New Roman"/>
        <family val="1"/>
        <charset val="204"/>
      </rPr>
      <t xml:space="preserve"> закладу із встановленим мінімальним розміром оплати праці </t>
    </r>
    <r>
      <rPr>
        <i/>
        <sz val="18"/>
        <rFont val="Times New Roman"/>
        <family val="1"/>
        <charset val="204"/>
      </rPr>
      <t>(%)</t>
    </r>
  </si>
  <si>
    <r>
      <rPr>
        <b/>
        <sz val="18"/>
        <rFont val="Times New Roman"/>
        <family val="1"/>
        <charset val="204"/>
      </rPr>
      <t xml:space="preserve">Середнє співвідношення середньомісячної заробітної плати </t>
    </r>
    <r>
      <rPr>
        <b/>
        <u/>
        <sz val="18"/>
        <rFont val="Times New Roman"/>
        <family val="1"/>
        <charset val="204"/>
      </rPr>
      <t>середнього</t>
    </r>
    <r>
      <rPr>
        <b/>
        <sz val="18"/>
        <rFont val="Times New Roman"/>
        <family val="1"/>
        <charset val="204"/>
      </rPr>
      <t xml:space="preserve"> медичного персоналу закладу із встановленим мінімальним розміром оплати праці</t>
    </r>
    <r>
      <rPr>
        <i/>
        <sz val="18"/>
        <rFont val="Times New Roman"/>
        <family val="1"/>
        <charset val="204"/>
      </rPr>
      <t xml:space="preserve"> (%)</t>
    </r>
  </si>
  <si>
    <r>
      <rPr>
        <b/>
        <sz val="18"/>
        <rFont val="Times New Roman"/>
        <family val="1"/>
        <charset val="204"/>
      </rPr>
      <t xml:space="preserve">Середнє співвідношення середньомісячної заробітної плати </t>
    </r>
    <r>
      <rPr>
        <b/>
        <u/>
        <sz val="18"/>
        <rFont val="Times New Roman"/>
        <family val="1"/>
        <charset val="204"/>
      </rPr>
      <t>молодшого</t>
    </r>
    <r>
      <rPr>
        <b/>
        <sz val="18"/>
        <rFont val="Times New Roman"/>
        <family val="1"/>
        <charset val="204"/>
      </rPr>
      <t xml:space="preserve"> медичного персоналу закладу із встановленим мінімальним розміром оплати праці</t>
    </r>
    <r>
      <rPr>
        <b/>
        <i/>
        <sz val="18"/>
        <rFont val="Times New Roman"/>
        <family val="1"/>
        <charset val="204"/>
      </rPr>
      <t xml:space="preserve"> </t>
    </r>
    <r>
      <rPr>
        <i/>
        <sz val="18"/>
        <rFont val="Times New Roman"/>
        <family val="1"/>
        <charset val="204"/>
      </rPr>
      <t>(%)</t>
    </r>
  </si>
  <si>
    <r>
      <t xml:space="preserve">Середнє співвідношення середньомісячної заробітної плати молодшого медичного персоналу закладу із встановленим мінімальним розміром оплати праці </t>
    </r>
    <r>
      <rPr>
        <i/>
        <sz val="12"/>
        <rFont val="Times New Roman"/>
        <family val="1"/>
        <charset val="204"/>
      </rPr>
      <t>(%)</t>
    </r>
  </si>
  <si>
    <t>Показник порівнює розрахункові значення закладу з нормами постанови КМУ №28 "Деякі питання оплати праці працівників державних та комунальних закладів охорони здоров’я" (залежно від виду території за умов воєнного стану):
- території активних бойових дій - 9 000 грн;
- території можливих бойових дій - 8 000 грн.</t>
  </si>
  <si>
    <t>керівники (грн)</t>
  </si>
  <si>
    <t>керівники стуктурних підзрозділів (грн)</t>
  </si>
  <si>
    <t>Тривалість перебування пацієнтів (дн.)</t>
  </si>
  <si>
    <t>Дохід пакетом Програми медичних гарантій "Первинна медична допомога" (грн)</t>
  </si>
  <si>
    <t>Дохід за іншими пакетами Програми медичних гарантій (грн)</t>
  </si>
  <si>
    <t>Інші доходи (грн)</t>
  </si>
  <si>
    <t>лікарів ПМД (ос.)</t>
  </si>
  <si>
    <t>середнього медичного персоналу (ос.)</t>
  </si>
  <si>
    <t>Загальна штатна чисельність персоналу закладу (ос.)</t>
  </si>
  <si>
    <t>керівники (ос.)</t>
  </si>
  <si>
    <t>молодшого медичного персоналу (ос.)</t>
  </si>
  <si>
    <t>інші працівники (ос.)</t>
  </si>
  <si>
    <t>інші працівники (грн)</t>
  </si>
  <si>
    <t>кількість лікарів (ос.)</t>
  </si>
  <si>
    <t>ПМД</t>
  </si>
  <si>
    <t>індив.оцінка</t>
  </si>
  <si>
    <t>max оцінка</t>
  </si>
  <si>
    <t>СМД</t>
  </si>
  <si>
    <r>
      <rPr>
        <b/>
        <sz val="12"/>
        <rFont val="Times New Roman"/>
        <family val="1"/>
        <charset val="204"/>
      </rPr>
      <t>Зайнятість ліжка</t>
    </r>
    <r>
      <rPr>
        <sz val="12"/>
        <rFont val="Times New Roman"/>
        <family val="1"/>
        <charset val="204"/>
      </rPr>
      <t xml:space="preserve"> (%)</t>
    </r>
  </si>
  <si>
    <r>
      <rPr>
        <b/>
        <sz val="12"/>
        <rFont val="Times New Roman"/>
        <family val="1"/>
        <charset val="204"/>
      </rPr>
      <t xml:space="preserve">Коефіцієнт повторної госпіталізації </t>
    </r>
    <r>
      <rPr>
        <sz val="12"/>
        <rFont val="Times New Roman"/>
        <family val="1"/>
        <charset val="204"/>
      </rPr>
      <t>(%)</t>
    </r>
  </si>
  <si>
    <r>
      <rPr>
        <b/>
        <sz val="12"/>
        <rFont val="Times New Roman"/>
        <family val="1"/>
        <charset val="204"/>
      </rPr>
      <t>Рівень післяопераційної летальності</t>
    </r>
    <r>
      <rPr>
        <sz val="12"/>
        <rFont val="Times New Roman"/>
        <family val="1"/>
        <charset val="204"/>
      </rPr>
      <t xml:space="preserve"> (%)</t>
    </r>
  </si>
  <si>
    <r>
      <t xml:space="preserve">Скарги пацієнтів на неформальні платежі </t>
    </r>
    <r>
      <rPr>
        <sz val="12"/>
        <rFont val="Times New Roman"/>
        <family val="1"/>
        <charset val="204"/>
      </rPr>
      <t>(%)</t>
    </r>
  </si>
  <si>
    <r>
      <rPr>
        <b/>
        <sz val="18"/>
        <rFont val="Times New Roman"/>
        <family val="1"/>
        <charset val="204"/>
      </rPr>
      <t>Коефіцієнт абсолютної ліквідності</t>
    </r>
    <r>
      <rPr>
        <sz val="18"/>
        <rFont val="Times New Roman"/>
        <family val="1"/>
        <charset val="204"/>
      </rPr>
      <t xml:space="preserve"> </t>
    </r>
    <r>
      <rPr>
        <i/>
        <sz val="18"/>
        <rFont val="Times New Roman"/>
        <family val="1"/>
        <charset val="204"/>
      </rPr>
      <t>(коефіцієнт)</t>
    </r>
  </si>
  <si>
    <r>
      <t xml:space="preserve">Коефіцієнт абсолютної ліквідності </t>
    </r>
    <r>
      <rPr>
        <i/>
        <sz val="12"/>
        <rFont val="Times New Roman"/>
        <family val="1"/>
        <charset val="204"/>
      </rPr>
      <t>(коефіцієнт</t>
    </r>
    <r>
      <rPr>
        <sz val="12"/>
        <rFont val="Times New Roman"/>
        <family val="1"/>
        <charset val="204"/>
      </rPr>
      <t>)</t>
    </r>
  </si>
  <si>
    <t>квартал</t>
  </si>
  <si>
    <t>півріччя</t>
  </si>
  <si>
    <t>рік</t>
  </si>
  <si>
    <t>х</t>
  </si>
  <si>
    <t>Кількість місяців, за який провводиться аналіз (міс.)</t>
  </si>
  <si>
    <t>Кількість місяців, за який проводиться аналіз (міс.)</t>
  </si>
  <si>
    <t>Обсяг споживання лікарських засобів та виробів медичного призначення (використання ТМЦ) (грн)</t>
  </si>
  <si>
    <t>територія можливих бойових дій (наказ Мінреінтеграції)</t>
  </si>
  <si>
    <t xml:space="preserve">інша територія (не зазначена у наказі Мінреінтеграції) </t>
  </si>
  <si>
    <t>територія активних бойових дій та територія активних бойових дій, на яких функціонують держ. ел. інформ. ресурси (наказ Мінреінтеграції)</t>
  </si>
  <si>
    <r>
      <rPr>
        <b/>
        <sz val="18"/>
        <rFont val="Times New Roman"/>
        <family val="1"/>
        <charset val="204"/>
      </rPr>
      <t>Коефіцієнт абсолютної ліквідності</t>
    </r>
    <r>
      <rPr>
        <sz val="18"/>
        <rFont val="Times New Roman"/>
        <family val="1"/>
        <charset val="204"/>
      </rPr>
      <t xml:space="preserve"> </t>
    </r>
    <r>
      <rPr>
        <i/>
        <sz val="18"/>
        <rFont val="Times New Roman"/>
        <family val="1"/>
        <charset val="204"/>
      </rPr>
      <t>(коефіціієнт)</t>
    </r>
  </si>
  <si>
    <r>
      <rPr>
        <b/>
        <sz val="18"/>
        <rFont val="Times New Roman"/>
        <family val="1"/>
        <charset val="204"/>
      </rPr>
      <t xml:space="preserve">Скарги пацієнтів на неформальні платежі </t>
    </r>
    <r>
      <rPr>
        <i/>
        <sz val="18"/>
        <rFont val="Times New Roman"/>
        <family val="1"/>
        <charset val="204"/>
      </rPr>
      <t>(%)</t>
    </r>
  </si>
  <si>
    <r>
      <rPr>
        <b/>
        <sz val="18"/>
        <rFont val="Times New Roman"/>
        <family val="1"/>
        <charset val="204"/>
      </rPr>
      <t>Скарги пацієнтів на неформальні платежі</t>
    </r>
    <r>
      <rPr>
        <i/>
        <sz val="18"/>
        <rFont val="Times New Roman"/>
        <family val="1"/>
        <charset val="204"/>
      </rPr>
      <t xml:space="preserve"> (%)</t>
    </r>
  </si>
  <si>
    <r>
      <t xml:space="preserve">Скарги пацієнтів на неформальні платежі </t>
    </r>
    <r>
      <rPr>
        <i/>
        <sz val="12"/>
        <rFont val="Times New Roman"/>
        <family val="1"/>
        <charset val="204"/>
      </rPr>
      <t>(%)</t>
    </r>
  </si>
  <si>
    <r>
      <rPr>
        <b/>
        <sz val="18"/>
        <rFont val="Times New Roman"/>
        <family val="1"/>
        <charset val="204"/>
      </rPr>
      <t>Зайнятість ліжка</t>
    </r>
    <r>
      <rPr>
        <sz val="18"/>
        <rFont val="Times New Roman"/>
        <family val="1"/>
        <charset val="204"/>
      </rPr>
      <t xml:space="preserve"> </t>
    </r>
    <r>
      <rPr>
        <i/>
        <sz val="18"/>
        <rFont val="Times New Roman"/>
        <family val="1"/>
        <charset val="204"/>
      </rPr>
      <t>(%)</t>
    </r>
  </si>
  <si>
    <r>
      <rPr>
        <b/>
        <sz val="18"/>
        <rFont val="Times New Roman"/>
        <family val="1"/>
        <charset val="204"/>
      </rPr>
      <t>Коефіцієнт повторної госпіталізації</t>
    </r>
    <r>
      <rPr>
        <sz val="18"/>
        <rFont val="Times New Roman"/>
        <family val="1"/>
        <charset val="204"/>
      </rPr>
      <t xml:space="preserve"> </t>
    </r>
    <r>
      <rPr>
        <i/>
        <sz val="18"/>
        <rFont val="Times New Roman"/>
        <family val="1"/>
        <charset val="204"/>
      </rPr>
      <t>(%)</t>
    </r>
  </si>
  <si>
    <r>
      <rPr>
        <b/>
        <sz val="18"/>
        <rFont val="Times New Roman"/>
        <family val="1"/>
        <charset val="204"/>
      </rPr>
      <t>Рівень післяопераційної летальності</t>
    </r>
    <r>
      <rPr>
        <sz val="18"/>
        <rFont val="Times New Roman"/>
        <family val="1"/>
        <charset val="204"/>
      </rPr>
      <t xml:space="preserve"> </t>
    </r>
    <r>
      <rPr>
        <i/>
        <sz val="18"/>
        <rFont val="Times New Roman"/>
        <family val="1"/>
        <charset val="204"/>
      </rPr>
      <t>(%)</t>
    </r>
  </si>
  <si>
    <t>Fin_Stab 1.0:
Базовий електронний інструмент
з оцінки фінансової стійкості закладів охорони здоров'я</t>
  </si>
  <si>
    <r>
      <t xml:space="preserve">Дата проведення обрахунку:
</t>
    </r>
    <r>
      <rPr>
        <sz val="12"/>
        <rFont val="Times New Roman"/>
        <family val="1"/>
        <charset val="204"/>
      </rPr>
      <t>(число.місяць.рік):</t>
    </r>
  </si>
  <si>
    <r>
      <rPr>
        <b/>
        <sz val="12"/>
        <rFont val="Times New Roman"/>
        <family val="1"/>
        <charset val="204"/>
      </rPr>
      <t xml:space="preserve">Область:
</t>
    </r>
    <r>
      <rPr>
        <sz val="12"/>
        <rFont val="Times New Roman"/>
        <family val="1"/>
        <charset val="204"/>
      </rPr>
      <t>(обрати зі списку)</t>
    </r>
  </si>
  <si>
    <r>
      <rPr>
        <b/>
        <sz val="12"/>
        <rFont val="Times New Roman"/>
        <family val="1"/>
        <charset val="204"/>
      </rPr>
      <t xml:space="preserve">Період року, за який проводиться аналіз:
</t>
    </r>
    <r>
      <rPr>
        <sz val="12"/>
        <rFont val="Times New Roman"/>
        <family val="1"/>
        <charset val="204"/>
      </rPr>
      <t>(обрати зі списку)</t>
    </r>
  </si>
  <si>
    <r>
      <rPr>
        <b/>
        <sz val="12"/>
        <rFont val="Times New Roman"/>
        <family val="1"/>
        <charset val="204"/>
      </rPr>
      <t xml:space="preserve">Кількість місяців, за який проводиться аналіз: </t>
    </r>
    <r>
      <rPr>
        <sz val="12"/>
        <rFont val="Times New Roman"/>
        <family val="1"/>
        <charset val="204"/>
      </rPr>
      <t>(заповнюється автоматично)</t>
    </r>
  </si>
  <si>
    <r>
      <t xml:space="preserve">Дата проведення обрахунку:
</t>
    </r>
    <r>
      <rPr>
        <sz val="12"/>
        <color theme="1"/>
        <rFont val="Times New Roman"/>
        <family val="1"/>
        <charset val="204"/>
      </rPr>
      <t>(число.місяць.рік)</t>
    </r>
  </si>
  <si>
    <r>
      <rPr>
        <b/>
        <sz val="12"/>
        <color theme="1"/>
        <rFont val="Times New Roman"/>
        <family val="1"/>
        <charset val="204"/>
      </rPr>
      <t xml:space="preserve">Область:
</t>
    </r>
    <r>
      <rPr>
        <sz val="12"/>
        <color theme="1"/>
        <rFont val="Times New Roman"/>
        <family val="1"/>
        <charset val="204"/>
      </rPr>
      <t>(обрати зі списку)</t>
    </r>
  </si>
  <si>
    <r>
      <rPr>
        <b/>
        <sz val="12"/>
        <color theme="1"/>
        <rFont val="Times New Roman"/>
        <family val="1"/>
        <charset val="204"/>
      </rPr>
      <t xml:space="preserve">Вид території на період воєнного стану:
</t>
    </r>
    <r>
      <rPr>
        <sz val="12"/>
        <color theme="1"/>
        <rFont val="Times New Roman"/>
        <family val="1"/>
        <charset val="204"/>
      </rPr>
      <t>(обрати зі списку)</t>
    </r>
  </si>
  <si>
    <r>
      <rPr>
        <b/>
        <sz val="12"/>
        <rFont val="Times New Roman"/>
        <family val="1"/>
        <charset val="204"/>
      </rPr>
      <t xml:space="preserve">Період року, за який проводиться аналіз: </t>
    </r>
    <r>
      <rPr>
        <sz val="12"/>
        <rFont val="Times New Roman"/>
        <family val="1"/>
        <charset val="204"/>
      </rPr>
      <t>(обрати зі списку)</t>
    </r>
  </si>
  <si>
    <t>Дохід від надання послуг за кошти фізичних і юридичних осіб (грн)</t>
  </si>
  <si>
    <t>Кількість лікарів ПМД (ос.)</t>
  </si>
  <si>
    <r>
      <rPr>
        <b/>
        <sz val="11"/>
        <color theme="1"/>
        <rFont val="Aptos Narrow"/>
        <family val="2"/>
        <scheme val="minor"/>
      </rPr>
      <t>ПМД</t>
    </r>
    <r>
      <rPr>
        <sz val="11"/>
        <color theme="1"/>
        <rFont val="Aptos Narrow"/>
        <family val="2"/>
        <charset val="204"/>
        <scheme val="minor"/>
      </rPr>
      <t xml:space="preserve">
(Звіт про доходи та витрати надавачів медичних послуг (окремі показники))</t>
    </r>
  </si>
  <si>
    <t>Середньомісячна заробітна плата одного штатного пацівника 
1-3 квартали 2024 року
(останні наявні дані)</t>
  </si>
  <si>
    <t>https://edata.e-health.gov.ua/e-data/dashboard/1-hc</t>
  </si>
  <si>
    <r>
      <rPr>
        <b/>
        <sz val="11"/>
        <color theme="1"/>
        <rFont val="Aptos Narrow"/>
        <family val="2"/>
        <scheme val="minor"/>
      </rPr>
      <t>СМД</t>
    </r>
    <r>
      <rPr>
        <sz val="11"/>
        <color theme="1"/>
        <rFont val="Aptos Narrow"/>
        <family val="2"/>
        <charset val="204"/>
        <scheme val="minor"/>
      </rPr>
      <t xml:space="preserve">
(Звіт про доходи та витрати надавачів медичних послуг (окремі показники))</t>
    </r>
  </si>
  <si>
    <t>Середньомісячна заробітна плата працівників ПМД по регіону (грн)</t>
  </si>
  <si>
    <r>
      <t xml:space="preserve">Мінімальний розмір оплати праці для осіб, які займають </t>
    </r>
    <r>
      <rPr>
        <u/>
        <sz val="12"/>
        <rFont val="Times New Roman"/>
        <family val="1"/>
        <charset val="204"/>
      </rPr>
      <t>лікарські</t>
    </r>
    <r>
      <rPr>
        <sz val="12"/>
        <rFont val="Times New Roman"/>
        <family val="1"/>
        <charset val="204"/>
      </rPr>
      <t xml:space="preserve"> посади, за виконану у повному обсязі місячну (годинну) норму праці (грн)</t>
    </r>
  </si>
  <si>
    <r>
      <t xml:space="preserve">Мінімальний розмір оплати праці для осіб, які займають посади у закладах охорони здоров’я, віднесені єдиними кваліфікаційними вимогами до посад </t>
    </r>
    <r>
      <rPr>
        <u/>
        <sz val="12"/>
        <rFont val="Times New Roman"/>
        <family val="1"/>
        <charset val="204"/>
      </rPr>
      <t>фахівців</t>
    </r>
    <r>
      <rPr>
        <sz val="12"/>
        <rFont val="Times New Roman"/>
        <family val="1"/>
        <charset val="204"/>
      </rPr>
      <t>, за виконану у повному обсязі місячну (годинну) норму праці (грн)</t>
    </r>
  </si>
  <si>
    <t xml:space="preserve">Показник характеризує частку "базового" пакету ПМД у розрахунку на 1 декларацію. За оптимальний показник взято значення базової капітаційної ставки ПМГ-2024 без урахування коригуючих коефіцієнтів, коефіцієнтів за перевищення оптимального обсягу практики ПМД та ін. </t>
  </si>
  <si>
    <t>Показник характеризує частку доходів від надання послуг за кошти фізичних і юридичних осіб ("платні послуги") у загальному доході закладу. Оптимальний показник - це значення з урахуванням інших джерел доходів закладу.</t>
  </si>
  <si>
    <t>Показник характеризує частку виробничих витрат у 1 гривні отриманого доходу підприємства. Оптимальне значення показує, що заклад за рахунок одержаної грошової виручки повністю відшкодувало витрати  і додатково одержало на кожну гривню витрат по 0,9 грн прибутку).</t>
  </si>
  <si>
    <t>Показник характеризує ступінь забезпеченості лікарськими засобами та виробами медичного призначення, які можуть покрити потреби закладу на певний період. Значення показника в оптимальних межах свідчить про забезпечення безперебійності надання медичної допомоги. Значення даного показника доцільно порівнювати з іншими розрахунковими показниками для того, щоб пересвідчитись чи не накопичує підприємство запаси, в той час як є незабезпеченість коштами на виплату заробітної плати, або значно зросла кредиторська заборгованість, тощо.</t>
  </si>
  <si>
    <t>Показник характеризує ступінь зносу та відшкодування витрат на формування основних засобів. Основні засоби мають бути у відповідному технічному стані для забезпечення нормальних умов процесу діяльності та підвищення його ефективності.</t>
  </si>
  <si>
    <t xml:space="preserve">Показник характеризує ту частину короткотермінових фінансових зобов'язань підприємства, яка може бути сплачена за рахунок ліквідних активів (грошових коштів та їх еквівалентів), тобто спроможність підприємства негайно погасити свою короткотермінову кредиторську заборгованість. </t>
  </si>
  <si>
    <t>Показник порівнює показники закладу з нормами постанови КМУ №28 "Деякі питання оплати праці працівників державних та комунальних закладів охорони здоров’я" - 20000 грн для осіб, які займають лікарські посади у закладах охорони здоров’я (крім лікарів-інтернів), посади фармацевтів (крім фармацевтів-інтернів), посади професіоналів у галузі охорони здоров’я у закладах та посади професіоналів з вищою немедичною освітою у сфері охорони здоров’я.</t>
  </si>
  <si>
    <t>Показник порівнює показники закладу з нормами постанови КМУ №28 "Деякі питання оплати праці працівників державних та комунальних закладів охорони здоров’я" - 13500 грн для осіб, які займають посади у закладах охорони здоров’я, віднесені єдиними кваліфікаційними вимогами до посад фахівців (крім лікарів-інтернів та фармацевтів-інтернів).</t>
  </si>
  <si>
    <t>Показник характеризує забезпеченість підприємства коштами на забезпечення витрат на оплату праці на оптимальну кількість місяців. Значення даного показника доцільно порівнювати з іншими розрахунковими показниками (кредиторська заборгованість за товари, роботи і послуги, інші зобов'язання, тощо) для того, щоб пересвідчитись чи дійсно залишок коштів може покрити витрати на оплату праці на відповідну кількість місяців.</t>
  </si>
  <si>
    <t>Показник характеризує порівняння розрахункових показників закладу із оптимальним обсягом практики ПМД відповідно до наказу МОЗ №504 "Про затвердження Порядку надання первинної медичної допомоги" - 1800 осіб на одного лікаря загальної практики - сімейного лікаря.</t>
  </si>
  <si>
    <t>Показник характеризує порівняння розрахункових показників закладу із оптимальним обсягом практики ПМД відповідно до наказу МОЗ №504 "Про затвердження Порядку надання первинної медичної допомоги" - 2000 осіб на одного лікаря загальної практики - сімейного лікаря.</t>
  </si>
  <si>
    <t>Показник характеризує порівняння розрахункових показників закладу із оптимальним обсягом практики ПМД відповідно до наказу МОЗ №504 "Про затвердження Порядку надання первинної медичної допомоги" - 900 осіб на одного лікаря загальної практики - сімейного лікаря.</t>
  </si>
  <si>
    <t>Дохід за всіма пакетами Програми медичних гарантій (грн)</t>
  </si>
  <si>
    <t>Показник характеризує частку надходжень від місцевих бюджетів у загальному доході закладу. Оптимальний показник - це значення з урахуванням інших джерел доходів закладу.</t>
  </si>
  <si>
    <t>Показник характеризує ступінь забезпеченості лікарськими засобами та виробами медичного призначення, які можуть покрити потреби закладу на певний період. Значення показника в оптимальних межах свідчить про забезпечення безперебійності надання медичної допомоги. Значення даного показника доцільно порівнювати з іншими розрахунковими показниками для того, щоб пересвідчитись чи не накопичує підприємство запаси в той час як є незабезпеченість коштами на виплату заробітної плати, або значно зросла кредиторська заборгованість, тощо.</t>
  </si>
  <si>
    <t>Показник порівнює показники закладу з нормами постанови КМУ №28 "Деякі питання оплати праці працівників державних та комунальних закладів охорони здоров’я" (залежно від виду території за умов воєнного стану):
- території активних бойових дій - 28 000 грн;
- території можливих бойових дій - 23 000 грн.</t>
  </si>
  <si>
    <t>Показник порівнює показники закладу з нормами постанови КМУ №28 "Деякі питання оплати праці працівників державних та комунальних закладів охорони здоров’я" (залежно від виду території за умов воєнного стану):
- території активних бойових дій - 18 000 грн;
- території можливих бойових дій - 15 500 грн.</t>
  </si>
  <si>
    <t>Показник характеризує забезпеченість підприємства коштами на забезпечення витрат на оплату праці на певну кількість місяців. Значення даного показника доцільно порівнювати з іншими розрахунковими показниками (кредиторська заборгованість за товари, роботи і послуги, інші зобов'язання, тощо) для того, щоб пересвідчитись чи дійсно залишок коштів може покрити витрати на оплату праці на відповідну кількість місяців.</t>
  </si>
  <si>
    <t>Кількість лікарів (ос.)</t>
  </si>
  <si>
    <t>Додаткові дані (оновити за потреби)</t>
  </si>
  <si>
    <t>Область / Показник</t>
  </si>
  <si>
    <t>Джерело: НСЗУ. Звіт про доходи та витрати надавачів медичних послуг (окремі показники)</t>
  </si>
  <si>
    <t xml:space="preserve">https://edata.e-health.gov.ua/e-data/dashboard/1-hc </t>
  </si>
  <si>
    <t>Середньомісячна заробітна плата лікарів (грн)</t>
  </si>
  <si>
    <t>Середньомісячна заробітна плата одного штатного працівника 
1-3 квартали 2024 року
(останні наявні дані)</t>
  </si>
  <si>
    <t>керівники структурних підрозділів (ос.)</t>
  </si>
  <si>
    <r>
      <t xml:space="preserve">Мінімальний розмір оплати праці для осіб, які займають посади </t>
    </r>
    <r>
      <rPr>
        <u/>
        <sz val="12"/>
        <rFont val="Times New Roman"/>
        <family val="1"/>
        <charset val="204"/>
      </rPr>
      <t>молодшого медичного персоналу</t>
    </r>
    <r>
      <rPr>
        <sz val="12"/>
        <rFont val="Times New Roman"/>
        <family val="1"/>
        <charset val="204"/>
      </rPr>
      <t>, за виконану у повному обсязі місячну (годинну) норму праці (грн)</t>
    </r>
  </si>
  <si>
    <r>
      <rPr>
        <b/>
        <sz val="18"/>
        <rFont val="Times New Roman"/>
        <family val="1"/>
        <charset val="204"/>
      </rPr>
      <t>Співвідношення середньої заробітної плати працівників закладу до середньомісячної заробітної плати по регіону</t>
    </r>
    <r>
      <rPr>
        <sz val="18"/>
        <rFont val="Times New Roman"/>
        <family val="1"/>
        <charset val="204"/>
      </rPr>
      <t xml:space="preserve"> </t>
    </r>
    <r>
      <rPr>
        <i/>
        <sz val="18"/>
        <rFont val="Times New Roman"/>
        <family val="1"/>
        <charset val="204"/>
      </rPr>
      <t>(%)</t>
    </r>
  </si>
  <si>
    <r>
      <t xml:space="preserve">Звітний період:
</t>
    </r>
    <r>
      <rPr>
        <sz val="12"/>
        <rFont val="Times New Roman"/>
        <family val="1"/>
        <charset val="204"/>
      </rPr>
      <t>(обрати зі списку)</t>
    </r>
  </si>
  <si>
    <r>
      <t xml:space="preserve">Звітний період:
</t>
    </r>
    <r>
      <rPr>
        <sz val="12"/>
        <color theme="1"/>
        <rFont val="Times New Roman"/>
        <family val="1"/>
        <charset val="204"/>
      </rPr>
      <t>(обрати зі списку)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</si>
</sst>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F800]dddd\,\ mmmm\ dd\,\ yyyy"/>
    <numFmt numFmtId="166" formatCode="0.0"/>
    <numFmt numFmtId="167" formatCode="#,##0.0"/>
  </numFmts>
  <fonts count="57" x14ac:knownFonts="1">
    <font>
      <sz val="11"/>
      <color theme="1"/>
      <name val="Aptos Narrow"/>
      <family val="2"/>
      <charset val="204"/>
      <scheme val="minor"/>
    </font>
    <font>
      <sz val="11"/>
      <color theme="1"/>
      <name val="Aptos Narrow"/>
      <family val="2"/>
      <charset val="204"/>
      <scheme val="minor"/>
    </font>
    <font>
      <sz val="11"/>
      <color theme="1"/>
      <name val="Aptos Narrow"/>
      <family val="2"/>
      <scheme val="minor"/>
    </font>
    <font>
      <u/>
      <sz val="11"/>
      <color theme="10"/>
      <name val="Aptos Narrow"/>
      <family val="2"/>
      <scheme val="minor"/>
    </font>
    <font>
      <sz val="11"/>
      <color theme="1"/>
      <name val="Times New Roman"/>
      <family val="1"/>
      <charset val="204"/>
    </font>
    <font>
      <sz val="12"/>
      <color theme="1"/>
      <name val="Times New Roman"/>
      <family val="1"/>
      <charset val="204"/>
    </font>
    <font>
      <sz val="16"/>
      <color theme="1"/>
      <name val="Times New Roman"/>
      <family val="1"/>
      <charset val="204"/>
    </font>
    <font>
      <b/>
      <sz val="16"/>
      <color theme="1"/>
      <name val="Times New Roman"/>
      <family val="1"/>
      <charset val="204"/>
    </font>
    <font>
      <b/>
      <sz val="12"/>
      <color theme="1"/>
      <name val="Times New Roman"/>
      <family val="1"/>
      <charset val="204"/>
    </font>
    <font>
      <b/>
      <sz val="18"/>
      <color theme="1"/>
      <name val="Times New Roman"/>
      <family val="1"/>
      <charset val="204"/>
    </font>
    <font>
      <b/>
      <i/>
      <sz val="26"/>
      <color rgb="FF00B050"/>
      <name val="Times New Roman"/>
      <family val="1"/>
      <charset val="204"/>
    </font>
    <font>
      <b/>
      <sz val="36"/>
      <name val="Times New Roman"/>
      <family val="1"/>
      <charset val="204"/>
    </font>
    <font>
      <sz val="11"/>
      <color theme="1"/>
      <name val="Arial"/>
      <family val="2"/>
    </font>
    <font>
      <b/>
      <sz val="16"/>
      <color theme="1"/>
      <name val="Arial"/>
      <family val="2"/>
    </font>
    <font>
      <sz val="13"/>
      <color theme="1"/>
      <name val="Arial"/>
      <family val="2"/>
    </font>
    <font>
      <sz val="13"/>
      <color rgb="FF0070C0"/>
      <name val="Arial"/>
      <family val="2"/>
    </font>
    <font>
      <sz val="20"/>
      <color rgb="FF6C6463"/>
      <name val="Arial"/>
      <family val="2"/>
    </font>
    <font>
      <sz val="12"/>
      <color theme="0" tint="-0.499984740745262"/>
      <name val="Arial"/>
      <family val="2"/>
    </font>
    <font>
      <sz val="11"/>
      <color rgb="FFFF0000"/>
      <name val="Times New Roman"/>
      <family val="1"/>
      <charset val="204"/>
    </font>
    <font>
      <b/>
      <sz val="12"/>
      <color theme="0"/>
      <name val="Times New Roman"/>
      <family val="1"/>
      <charset val="204"/>
    </font>
    <font>
      <b/>
      <sz val="12"/>
      <name val="Times New Roman"/>
      <family val="1"/>
      <charset val="204"/>
    </font>
    <font>
      <sz val="12"/>
      <name val="Times New Roman"/>
      <family val="1"/>
      <charset val="204"/>
    </font>
    <font>
      <b/>
      <sz val="11"/>
      <color theme="1"/>
      <name val="Times New Roman"/>
      <family val="1"/>
      <charset val="204"/>
    </font>
    <font>
      <sz val="11"/>
      <color rgb="FF202122"/>
      <name val="Arial"/>
      <family val="2"/>
      <charset val="204"/>
    </font>
    <font>
      <b/>
      <sz val="16"/>
      <name val="Times New Roman"/>
      <family val="1"/>
      <charset val="204"/>
    </font>
    <font>
      <i/>
      <sz val="12"/>
      <color theme="1"/>
      <name val="Times New Roman"/>
      <family val="1"/>
      <charset val="204"/>
    </font>
    <font>
      <b/>
      <i/>
      <sz val="12"/>
      <color theme="1"/>
      <name val="Times New Roman"/>
      <family val="1"/>
      <charset val="204"/>
    </font>
    <font>
      <sz val="18"/>
      <color rgb="FFFF0000"/>
      <name val="Times New Roman"/>
      <family val="1"/>
      <charset val="204"/>
    </font>
    <font>
      <sz val="16"/>
      <name val="Times New Roman"/>
      <family val="1"/>
      <charset val="204"/>
    </font>
    <font>
      <sz val="11"/>
      <name val="Times New Roman"/>
      <family val="1"/>
      <charset val="204"/>
    </font>
    <font>
      <sz val="13"/>
      <name val="Arial"/>
      <family val="2"/>
    </font>
    <font>
      <sz val="12"/>
      <color rgb="FFFF0000"/>
      <name val="Times New Roman"/>
      <family val="1"/>
      <charset val="204"/>
    </font>
    <font>
      <sz val="18"/>
      <name val="Times New Roman"/>
      <family val="1"/>
      <charset val="204"/>
    </font>
    <font>
      <i/>
      <sz val="12"/>
      <name val="Times New Roman"/>
      <family val="1"/>
      <charset val="204"/>
    </font>
    <font>
      <b/>
      <i/>
      <sz val="12"/>
      <name val="Times New Roman"/>
      <family val="1"/>
      <charset val="204"/>
    </font>
    <font>
      <sz val="8"/>
      <name val="Aptos Narrow"/>
      <family val="2"/>
      <charset val="204"/>
      <scheme val="minor"/>
    </font>
    <font>
      <sz val="10"/>
      <name val="Arial Cyr"/>
      <charset val="204"/>
    </font>
    <font>
      <b/>
      <sz val="22"/>
      <color theme="1"/>
      <name val="Times New Roman"/>
      <family val="1"/>
      <charset val="204"/>
    </font>
    <font>
      <b/>
      <sz val="14"/>
      <name val="Times New Roman"/>
      <family val="1"/>
      <charset val="204"/>
    </font>
    <font>
      <b/>
      <sz val="18"/>
      <name val="Times New Roman"/>
      <family val="1"/>
      <charset val="204"/>
    </font>
    <font>
      <b/>
      <sz val="18"/>
      <color rgb="FF0070C0"/>
      <name val="Times New Roman"/>
      <family val="1"/>
      <charset val="204"/>
    </font>
    <font>
      <b/>
      <sz val="20"/>
      <color theme="1"/>
      <name val="Times New Roman"/>
      <family val="1"/>
      <charset val="204"/>
    </font>
    <font>
      <i/>
      <sz val="18"/>
      <name val="Times New Roman"/>
      <family val="1"/>
      <charset val="204"/>
    </font>
    <font>
      <u/>
      <sz val="18"/>
      <name val="Times New Roman"/>
      <family val="1"/>
      <charset val="204"/>
    </font>
    <font>
      <b/>
      <u/>
      <sz val="18"/>
      <color theme="1"/>
      <name val="Times New Roman"/>
      <family val="1"/>
      <charset val="204"/>
    </font>
    <font>
      <b/>
      <sz val="36"/>
      <color theme="1"/>
      <name val="Times New Roman"/>
      <family val="1"/>
      <charset val="204"/>
    </font>
    <font>
      <b/>
      <sz val="14"/>
      <color theme="0"/>
      <name val="Times New Roman"/>
      <family val="1"/>
      <charset val="204"/>
    </font>
    <font>
      <u/>
      <sz val="12"/>
      <name val="Times New Roman"/>
      <family val="1"/>
      <charset val="204"/>
    </font>
    <font>
      <b/>
      <sz val="20"/>
      <name val="Times New Roman"/>
      <family val="1"/>
      <charset val="204"/>
    </font>
    <font>
      <b/>
      <sz val="20"/>
      <color rgb="FF0070C0"/>
      <name val="Times New Roman"/>
      <family val="1"/>
      <charset val="204"/>
    </font>
    <font>
      <sz val="12"/>
      <color rgb="FF333333"/>
      <name val="Times New Roman"/>
      <family val="1"/>
      <charset val="204"/>
    </font>
    <font>
      <sz val="14"/>
      <color theme="1"/>
      <name val="Times New Roman"/>
      <family val="1"/>
      <charset val="204"/>
    </font>
    <font>
      <b/>
      <i/>
      <sz val="18"/>
      <name val="Times New Roman"/>
      <family val="1"/>
      <charset val="204"/>
    </font>
    <font>
      <b/>
      <u/>
      <sz val="18"/>
      <name val="Times New Roman"/>
      <family val="1"/>
      <charset val="204"/>
    </font>
    <font>
      <b/>
      <sz val="11"/>
      <color theme="1"/>
      <name val="Aptos Narrow"/>
      <family val="2"/>
      <scheme val="minor"/>
    </font>
    <font>
      <i/>
      <sz val="11"/>
      <name val="Times New Roman"/>
      <family val="1"/>
      <charset val="204"/>
    </font>
    <font>
      <u/>
      <sz val="11"/>
      <color theme="10"/>
      <name val="Aptos Narrow"/>
      <family val="2"/>
      <charset val="204"/>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rgb="FF002060"/>
        <bgColor indexed="64"/>
      </patternFill>
    </fill>
    <fill>
      <patternFill patternType="solid">
        <fgColor rgb="FFFFC000"/>
        <bgColor indexed="64"/>
      </patternFill>
    </fill>
  </fills>
  <borders count="4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6">
    <xf numFmtId="0" fontId="0" fillId="0" borderId="0"/>
    <xf numFmtId="0" fontId="2" fillId="0" borderId="0"/>
    <xf numFmtId="0" fontId="3" fillId="0" borderId="0" applyNumberFormat="0" applyFill="0" applyBorder="0" applyAlignment="0" applyProtection="0"/>
    <xf numFmtId="9" fontId="1" fillId="0" borderId="0" applyFont="0" applyFill="0" applyBorder="0" applyAlignment="0" applyProtection="0"/>
    <xf numFmtId="0" fontId="36" fillId="0" borderId="0"/>
    <xf numFmtId="0" fontId="56" fillId="0" borderId="0" applyNumberFormat="0" applyFill="0" applyBorder="0" applyAlignment="0" applyProtection="0"/>
  </cellStyleXfs>
  <cellXfs count="407">
    <xf numFmtId="0" fontId="0" fillId="0" borderId="0" xfId="0"/>
    <xf numFmtId="0" fontId="5" fillId="2" borderId="0" xfId="0" applyFont="1" applyFill="1"/>
    <xf numFmtId="0" fontId="6" fillId="2" borderId="0" xfId="0" applyFont="1" applyFill="1"/>
    <xf numFmtId="9" fontId="0" fillId="0" borderId="0" xfId="3" applyFont="1"/>
    <xf numFmtId="0" fontId="9" fillId="2" borderId="0" xfId="0" applyFont="1" applyFill="1"/>
    <xf numFmtId="0" fontId="4" fillId="0" borderId="0" xfId="1" applyFont="1"/>
    <xf numFmtId="0" fontId="10" fillId="0" borderId="0" xfId="1" applyFont="1" applyAlignment="1">
      <alignment vertical="center"/>
    </xf>
    <xf numFmtId="0" fontId="11" fillId="0" borderId="0" xfId="1" applyFont="1" applyAlignment="1">
      <alignment horizontal="center" vertical="center" wrapText="1"/>
    </xf>
    <xf numFmtId="0" fontId="11" fillId="0" borderId="0" xfId="1" applyFont="1" applyAlignment="1">
      <alignment vertical="center" wrapText="1"/>
    </xf>
    <xf numFmtId="0" fontId="12" fillId="0" borderId="0" xfId="1" applyFont="1"/>
    <xf numFmtId="0" fontId="16" fillId="0" borderId="0" xfId="1" applyFont="1"/>
    <xf numFmtId="0" fontId="18" fillId="0" borderId="0" xfId="1" applyFont="1"/>
    <xf numFmtId="0" fontId="19" fillId="8" borderId="0" xfId="0" applyFont="1" applyFill="1"/>
    <xf numFmtId="0" fontId="5" fillId="2" borderId="0" xfId="0" applyFont="1" applyFill="1" applyAlignment="1">
      <alignment horizontal="center" vertical="center" wrapText="1"/>
    </xf>
    <xf numFmtId="0" fontId="4" fillId="2" borderId="0" xfId="0" applyFont="1" applyFill="1" applyAlignment="1">
      <alignment horizontal="left"/>
    </xf>
    <xf numFmtId="9" fontId="22" fillId="2" borderId="0" xfId="3" applyFont="1" applyFill="1" applyBorder="1" applyAlignment="1">
      <alignment horizontal="center" vertical="center"/>
    </xf>
    <xf numFmtId="0" fontId="8" fillId="2" borderId="3" xfId="0" applyFont="1" applyFill="1" applyBorder="1" applyAlignment="1">
      <alignment horizontal="center" vertical="center" wrapText="1"/>
    </xf>
    <xf numFmtId="0" fontId="23" fillId="0" borderId="0" xfId="0" applyFont="1"/>
    <xf numFmtId="0" fontId="0" fillId="0" borderId="0" xfId="0" applyAlignment="1">
      <alignment horizontal="center" vertical="center" wrapText="1"/>
    </xf>
    <xf numFmtId="3" fontId="0" fillId="0" borderId="0" xfId="0" applyNumberFormat="1"/>
    <xf numFmtId="0" fontId="5" fillId="5" borderId="9" xfId="0" applyFont="1" applyFill="1" applyBorder="1" applyAlignment="1">
      <alignment horizontal="center" vertical="center" wrapText="1"/>
    </xf>
    <xf numFmtId="3" fontId="5" fillId="2" borderId="3" xfId="0" applyNumberFormat="1" applyFont="1" applyFill="1" applyBorder="1" applyAlignment="1">
      <alignment horizontal="center" vertical="center" wrapText="1"/>
    </xf>
    <xf numFmtId="3" fontId="5" fillId="2" borderId="3" xfId="0" applyNumberFormat="1" applyFont="1" applyFill="1" applyBorder="1" applyAlignment="1">
      <alignment horizontal="center" vertical="center"/>
    </xf>
    <xf numFmtId="0" fontId="21" fillId="0" borderId="10" xfId="0" applyFont="1" applyBorder="1" applyAlignment="1">
      <alignment horizontal="left" vertical="center" wrapText="1"/>
    </xf>
    <xf numFmtId="0" fontId="25" fillId="2" borderId="0" xfId="0" applyFont="1" applyFill="1" applyAlignment="1">
      <alignment horizontal="left" vertical="center" wrapText="1"/>
    </xf>
    <xf numFmtId="3" fontId="5" fillId="5" borderId="3"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xf>
    <xf numFmtId="0" fontId="5" fillId="2" borderId="0" xfId="0" applyFont="1" applyFill="1" applyAlignment="1">
      <alignment horizontal="center" vertical="center"/>
    </xf>
    <xf numFmtId="0" fontId="27" fillId="2" borderId="0" xfId="0" applyFont="1" applyFill="1"/>
    <xf numFmtId="9" fontId="0" fillId="0" borderId="0" xfId="0" applyNumberFormat="1"/>
    <xf numFmtId="9" fontId="5" fillId="4" borderId="9" xfId="0" applyNumberFormat="1" applyFont="1" applyFill="1" applyBorder="1" applyAlignment="1">
      <alignment horizontal="center" vertical="center" wrapText="1"/>
    </xf>
    <xf numFmtId="9" fontId="5" fillId="4" borderId="12" xfId="0" applyNumberFormat="1" applyFont="1" applyFill="1" applyBorder="1" applyAlignment="1">
      <alignment horizontal="center" vertical="center" wrapText="1"/>
    </xf>
    <xf numFmtId="9" fontId="5" fillId="4" borderId="27" xfId="3" applyFont="1" applyFill="1" applyBorder="1" applyAlignment="1">
      <alignment horizontal="center" vertical="center"/>
    </xf>
    <xf numFmtId="9" fontId="5" fillId="4" borderId="9" xfId="3" applyFont="1" applyFill="1" applyBorder="1" applyAlignment="1">
      <alignment horizontal="center" vertical="center"/>
    </xf>
    <xf numFmtId="0" fontId="5" fillId="4" borderId="3"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4" borderId="11" xfId="0" applyFont="1" applyFill="1" applyBorder="1" applyAlignment="1">
      <alignment horizontal="center" vertical="center" wrapText="1"/>
    </xf>
    <xf numFmtId="9" fontId="5" fillId="4" borderId="12" xfId="0" applyNumberFormat="1" applyFont="1" applyFill="1" applyBorder="1" applyAlignment="1">
      <alignment horizontal="center" vertical="center"/>
    </xf>
    <xf numFmtId="0" fontId="29" fillId="0" borderId="3" xfId="0" applyFont="1" applyBorder="1" applyAlignment="1">
      <alignment horizontal="left" vertical="center" wrapText="1"/>
    </xf>
    <xf numFmtId="3" fontId="21" fillId="5" borderId="3" xfId="0" applyNumberFormat="1" applyFont="1" applyFill="1" applyBorder="1" applyAlignment="1">
      <alignment horizontal="center" vertical="center" wrapText="1"/>
    </xf>
    <xf numFmtId="9" fontId="5" fillId="4" borderId="27" xfId="0" applyNumberFormat="1" applyFont="1" applyFill="1" applyBorder="1" applyAlignment="1">
      <alignment horizontal="center" vertical="center" wrapText="1"/>
    </xf>
    <xf numFmtId="0" fontId="31" fillId="2" borderId="0" xfId="0" applyFont="1" applyFill="1"/>
    <xf numFmtId="0" fontId="21" fillId="2" borderId="0" xfId="0" applyFont="1" applyFill="1"/>
    <xf numFmtId="0" fontId="33" fillId="2" borderId="0" xfId="0" applyFont="1" applyFill="1" applyAlignment="1">
      <alignment horizontal="left" vertical="center" wrapText="1"/>
    </xf>
    <xf numFmtId="0" fontId="21" fillId="5" borderId="9" xfId="0" applyFont="1" applyFill="1" applyBorder="1" applyAlignment="1">
      <alignment horizontal="center" vertical="center" wrapText="1"/>
    </xf>
    <xf numFmtId="0" fontId="21" fillId="2" borderId="0" xfId="0" applyFont="1" applyFill="1" applyAlignment="1">
      <alignment horizontal="center" vertical="center"/>
    </xf>
    <xf numFmtId="0" fontId="20" fillId="2" borderId="3" xfId="0" applyFont="1" applyFill="1" applyBorder="1" applyAlignment="1">
      <alignment horizontal="center" vertical="center" wrapText="1"/>
    </xf>
    <xf numFmtId="3" fontId="21" fillId="4" borderId="27" xfId="0" applyNumberFormat="1" applyFont="1" applyFill="1" applyBorder="1" applyAlignment="1">
      <alignment horizontal="center" vertical="center" wrapText="1"/>
    </xf>
    <xf numFmtId="9" fontId="21" fillId="4" borderId="9" xfId="0" applyNumberFormat="1" applyFont="1" applyFill="1" applyBorder="1" applyAlignment="1">
      <alignment horizontal="center" vertical="center" wrapText="1"/>
    </xf>
    <xf numFmtId="0" fontId="21" fillId="4" borderId="3" xfId="0" applyFont="1" applyFill="1" applyBorder="1" applyAlignment="1">
      <alignment horizontal="center" vertical="center" wrapText="1"/>
    </xf>
    <xf numFmtId="0" fontId="28" fillId="2" borderId="0" xfId="0" applyFont="1" applyFill="1"/>
    <xf numFmtId="3" fontId="21" fillId="4" borderId="9" xfId="0" applyNumberFormat="1" applyFont="1" applyFill="1" applyBorder="1" applyAlignment="1">
      <alignment horizontal="center" vertical="center" wrapText="1"/>
    </xf>
    <xf numFmtId="0" fontId="20" fillId="0" borderId="8" xfId="0" applyFont="1" applyBorder="1" applyAlignment="1">
      <alignment horizontal="left" vertical="center" wrapText="1"/>
    </xf>
    <xf numFmtId="0" fontId="20" fillId="0" borderId="10" xfId="0" applyFont="1" applyBorder="1" applyAlignment="1">
      <alignment horizontal="left" vertical="center" wrapText="1"/>
    </xf>
    <xf numFmtId="0" fontId="29" fillId="0" borderId="11" xfId="0" applyFont="1" applyBorder="1" applyAlignment="1">
      <alignment horizontal="left" vertical="center" wrapText="1"/>
    </xf>
    <xf numFmtId="0" fontId="21" fillId="4" borderId="11" xfId="0" applyFont="1" applyFill="1" applyBorder="1" applyAlignment="1">
      <alignment horizontal="center" vertical="center" wrapText="1"/>
    </xf>
    <xf numFmtId="9" fontId="21" fillId="4" borderId="12" xfId="0" applyNumberFormat="1" applyFont="1" applyFill="1" applyBorder="1" applyAlignment="1">
      <alignment horizontal="center" vertical="center" wrapText="1"/>
    </xf>
    <xf numFmtId="0" fontId="20" fillId="0" borderId="25" xfId="0" applyFont="1" applyBorder="1" applyAlignment="1">
      <alignment horizontal="left" vertical="center" wrapText="1"/>
    </xf>
    <xf numFmtId="0" fontId="21" fillId="4" borderId="2"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4" borderId="40" xfId="0" applyFont="1" applyFill="1" applyBorder="1" applyAlignment="1">
      <alignment horizontal="center" vertical="center" wrapText="1"/>
    </xf>
    <xf numFmtId="0" fontId="21" fillId="4" borderId="41" xfId="0" applyFont="1" applyFill="1" applyBorder="1" applyAlignment="1">
      <alignment horizontal="center" vertical="center" wrapText="1"/>
    </xf>
    <xf numFmtId="0" fontId="29" fillId="0" borderId="28" xfId="0" applyFont="1" applyBorder="1" applyAlignment="1">
      <alignment horizontal="left" vertical="center" wrapText="1"/>
    </xf>
    <xf numFmtId="0" fontId="21" fillId="4" borderId="26" xfId="0" applyFont="1" applyFill="1" applyBorder="1" applyAlignment="1">
      <alignment horizontal="center" vertical="center" wrapText="1"/>
    </xf>
    <xf numFmtId="166" fontId="21" fillId="4" borderId="43" xfId="3" applyNumberFormat="1" applyFont="1" applyFill="1" applyBorder="1" applyAlignment="1">
      <alignment horizontal="center" vertical="center"/>
    </xf>
    <xf numFmtId="1" fontId="21" fillId="4" borderId="44" xfId="3" applyNumberFormat="1" applyFont="1" applyFill="1" applyBorder="1" applyAlignment="1">
      <alignment horizontal="center" vertical="center"/>
    </xf>
    <xf numFmtId="1" fontId="21" fillId="4" borderId="45" xfId="3" applyNumberFormat="1" applyFont="1" applyFill="1" applyBorder="1" applyAlignment="1">
      <alignment horizontal="center" vertical="center"/>
    </xf>
    <xf numFmtId="1" fontId="21" fillId="4" borderId="12" xfId="3" applyNumberFormat="1" applyFont="1" applyFill="1" applyBorder="1" applyAlignment="1">
      <alignment horizontal="center" vertical="center"/>
    </xf>
    <xf numFmtId="0" fontId="21" fillId="4" borderId="38" xfId="0" applyFont="1" applyFill="1" applyBorder="1" applyAlignment="1">
      <alignment horizontal="center" vertical="center" wrapText="1"/>
    </xf>
    <xf numFmtId="1" fontId="21" fillId="4" borderId="27" xfId="3" applyNumberFormat="1" applyFont="1" applyFill="1" applyBorder="1" applyAlignment="1">
      <alignment horizontal="center" vertical="center"/>
    </xf>
    <xf numFmtId="0" fontId="29" fillId="0" borderId="38" xfId="0" applyFont="1" applyBorder="1" applyAlignment="1">
      <alignment horizontal="left" vertical="center" wrapText="1"/>
    </xf>
    <xf numFmtId="0" fontId="20" fillId="0" borderId="0" xfId="0" applyFont="1" applyAlignment="1">
      <alignment vertical="center" wrapText="1"/>
    </xf>
    <xf numFmtId="0" fontId="20" fillId="0" borderId="10" xfId="0" applyFont="1" applyBorder="1" applyAlignment="1">
      <alignment vertical="center" wrapText="1"/>
    </xf>
    <xf numFmtId="0" fontId="21" fillId="4" borderId="28" xfId="0" applyFont="1" applyFill="1" applyBorder="1" applyAlignment="1">
      <alignment horizontal="center" vertical="center" wrapText="1"/>
    </xf>
    <xf numFmtId="4" fontId="21" fillId="4" borderId="27" xfId="0" applyNumberFormat="1" applyFont="1" applyFill="1" applyBorder="1" applyAlignment="1">
      <alignment horizontal="center" vertical="center" wrapText="1"/>
    </xf>
    <xf numFmtId="0" fontId="21" fillId="4" borderId="30" xfId="0" applyFont="1" applyFill="1" applyBorder="1" applyAlignment="1">
      <alignment horizontal="center" vertical="center" wrapText="1"/>
    </xf>
    <xf numFmtId="0" fontId="21" fillId="4" borderId="33" xfId="0" applyFont="1" applyFill="1" applyBorder="1" applyAlignment="1">
      <alignment horizontal="center" vertical="center" wrapText="1"/>
    </xf>
    <xf numFmtId="9" fontId="21" fillId="4" borderId="27" xfId="0" applyNumberFormat="1" applyFont="1" applyFill="1" applyBorder="1" applyAlignment="1">
      <alignment horizontal="center" vertical="center" wrapText="1"/>
    </xf>
    <xf numFmtId="0" fontId="29" fillId="2" borderId="11" xfId="0" applyFont="1" applyFill="1" applyBorder="1" applyAlignment="1">
      <alignment horizontal="left" vertical="center" wrapText="1"/>
    </xf>
    <xf numFmtId="0" fontId="29" fillId="0" borderId="30" xfId="0" applyFont="1" applyBorder="1" applyAlignment="1">
      <alignment horizontal="left" vertical="center" wrapText="1"/>
    </xf>
    <xf numFmtId="0" fontId="29" fillId="0" borderId="33" xfId="0" applyFont="1" applyBorder="1" applyAlignment="1">
      <alignment horizontal="left" vertical="center" wrapText="1"/>
    </xf>
    <xf numFmtId="9" fontId="21" fillId="4" borderId="27" xfId="3" applyFont="1" applyFill="1" applyBorder="1" applyAlignment="1">
      <alignment horizontal="center" vertical="center" wrapText="1"/>
    </xf>
    <xf numFmtId="9" fontId="21" fillId="4" borderId="9" xfId="3" applyFont="1" applyFill="1" applyBorder="1" applyAlignment="1">
      <alignment horizontal="center" vertical="center" wrapText="1"/>
    </xf>
    <xf numFmtId="0" fontId="20" fillId="2" borderId="10" xfId="0" applyFont="1" applyFill="1" applyBorder="1" applyAlignment="1">
      <alignment horizontal="left" vertical="center" wrapText="1"/>
    </xf>
    <xf numFmtId="9" fontId="21" fillId="4" borderId="12" xfId="0" applyNumberFormat="1" applyFont="1" applyFill="1" applyBorder="1" applyAlignment="1">
      <alignment horizontal="center" vertical="center"/>
    </xf>
    <xf numFmtId="1" fontId="21" fillId="4" borderId="32" xfId="3" applyNumberFormat="1" applyFont="1" applyFill="1" applyBorder="1" applyAlignment="1">
      <alignment horizontal="center" vertical="center"/>
    </xf>
    <xf numFmtId="1" fontId="21" fillId="4" borderId="7" xfId="3" applyNumberFormat="1" applyFont="1" applyFill="1" applyBorder="1" applyAlignment="1">
      <alignment horizontal="center" vertical="center"/>
    </xf>
    <xf numFmtId="0" fontId="21" fillId="2" borderId="25"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29" fillId="2" borderId="30" xfId="0" applyFont="1" applyFill="1" applyBorder="1" applyAlignment="1">
      <alignment horizontal="left" vertical="center" wrapText="1"/>
    </xf>
    <xf numFmtId="0" fontId="29" fillId="0" borderId="11" xfId="0" applyFont="1" applyBorder="1" applyAlignment="1">
      <alignment vertical="center" wrapText="1"/>
    </xf>
    <xf numFmtId="0" fontId="20" fillId="2" borderId="8" xfId="0" applyFont="1" applyFill="1" applyBorder="1" applyAlignment="1">
      <alignment horizontal="center" vertical="center"/>
    </xf>
    <xf numFmtId="0" fontId="34" fillId="2" borderId="9" xfId="0" applyFont="1" applyFill="1" applyBorder="1" applyAlignment="1">
      <alignment horizontal="center" vertical="center" wrapText="1"/>
    </xf>
    <xf numFmtId="0" fontId="25" fillId="2" borderId="9" xfId="0" applyFont="1" applyFill="1" applyBorder="1" applyAlignment="1">
      <alignment horizontal="left" vertical="center" wrapText="1"/>
    </xf>
    <xf numFmtId="3" fontId="5" fillId="5" borderId="11" xfId="0" applyNumberFormat="1" applyFont="1" applyFill="1" applyBorder="1" applyAlignment="1">
      <alignment horizontal="center" vertical="center" wrapText="1"/>
    </xf>
    <xf numFmtId="0" fontId="25" fillId="2" borderId="12" xfId="0" applyFont="1" applyFill="1" applyBorder="1" applyAlignment="1">
      <alignment horizontal="left" vertical="center" wrapText="1"/>
    </xf>
    <xf numFmtId="3" fontId="28" fillId="0" borderId="3" xfId="0" applyNumberFormat="1" applyFont="1" applyBorder="1" applyAlignment="1">
      <alignment horizontal="center" vertical="center" wrapText="1"/>
    </xf>
    <xf numFmtId="0" fontId="28" fillId="0" borderId="3" xfId="0" applyFont="1" applyBorder="1" applyAlignment="1">
      <alignment horizontal="left" vertical="center" wrapText="1"/>
    </xf>
    <xf numFmtId="3" fontId="32" fillId="0" borderId="3" xfId="0" applyNumberFormat="1" applyFont="1" applyBorder="1" applyAlignment="1">
      <alignment horizontal="center" vertical="center" wrapText="1"/>
    </xf>
    <xf numFmtId="9" fontId="39" fillId="4" borderId="3" xfId="3" applyFont="1" applyFill="1" applyBorder="1" applyAlignment="1">
      <alignment horizontal="center" vertical="center"/>
    </xf>
    <xf numFmtId="9" fontId="9" fillId="0" borderId="12" xfId="3" applyFont="1" applyFill="1" applyBorder="1" applyAlignment="1">
      <alignment horizontal="center" vertical="center" wrapText="1"/>
    </xf>
    <xf numFmtId="3" fontId="28" fillId="0" borderId="3" xfId="0" applyNumberFormat="1" applyFont="1" applyBorder="1" applyAlignment="1">
      <alignment horizontal="left" vertical="center" wrapText="1"/>
    </xf>
    <xf numFmtId="0" fontId="32" fillId="0" borderId="3" xfId="0" applyFont="1" applyBorder="1" applyAlignment="1">
      <alignment horizontal="center" vertical="center" wrapText="1"/>
    </xf>
    <xf numFmtId="3" fontId="32" fillId="0" borderId="3" xfId="0" applyNumberFormat="1" applyFont="1" applyBorder="1" applyAlignment="1">
      <alignment horizontal="left" vertical="center" wrapText="1"/>
    </xf>
    <xf numFmtId="0" fontId="32" fillId="4" borderId="28" xfId="0" applyFont="1" applyFill="1" applyBorder="1" applyAlignment="1">
      <alignment horizontal="center" vertical="center" wrapText="1"/>
    </xf>
    <xf numFmtId="0" fontId="9" fillId="3" borderId="27" xfId="0" applyFont="1" applyFill="1" applyBorder="1" applyAlignment="1">
      <alignment horizontal="center" vertical="center" wrapText="1"/>
    </xf>
    <xf numFmtId="9" fontId="40" fillId="7" borderId="9" xfId="0" applyNumberFormat="1" applyFont="1" applyFill="1" applyBorder="1" applyAlignment="1">
      <alignment horizontal="center" vertical="center"/>
    </xf>
    <xf numFmtId="0" fontId="28" fillId="0" borderId="11" xfId="0" applyFont="1" applyBorder="1" applyAlignment="1">
      <alignment horizontal="left" vertical="center" wrapText="1"/>
    </xf>
    <xf numFmtId="3" fontId="32" fillId="0" borderId="11" xfId="0" applyNumberFormat="1" applyFont="1" applyBorder="1" applyAlignment="1">
      <alignment horizontal="center" vertical="center" wrapText="1"/>
    </xf>
    <xf numFmtId="1" fontId="32" fillId="0" borderId="3" xfId="0" applyNumberFormat="1" applyFont="1" applyBorder="1" applyAlignment="1">
      <alignment horizontal="center" vertical="center" wrapText="1"/>
    </xf>
    <xf numFmtId="3" fontId="39" fillId="0" borderId="3" xfId="3" applyNumberFormat="1" applyFont="1" applyFill="1" applyBorder="1" applyAlignment="1">
      <alignment horizontal="center" vertical="center"/>
    </xf>
    <xf numFmtId="1" fontId="32" fillId="2" borderId="3" xfId="3" applyNumberFormat="1" applyFont="1" applyFill="1" applyBorder="1" applyAlignment="1">
      <alignment horizontal="center" vertical="center"/>
    </xf>
    <xf numFmtId="9" fontId="40" fillId="7" borderId="7" xfId="3" applyFont="1" applyFill="1" applyBorder="1" applyAlignment="1">
      <alignment horizontal="center" vertical="center"/>
    </xf>
    <xf numFmtId="0" fontId="41" fillId="2" borderId="25" xfId="0" applyFont="1" applyFill="1" applyBorder="1" applyAlignment="1">
      <alignment vertical="center" wrapText="1"/>
    </xf>
    <xf numFmtId="0" fontId="41" fillId="2" borderId="10" xfId="0" applyFont="1" applyFill="1" applyBorder="1" applyAlignment="1">
      <alignment vertical="center" wrapText="1"/>
    </xf>
    <xf numFmtId="0" fontId="21" fillId="0" borderId="8" xfId="4" applyFont="1" applyBorder="1" applyAlignment="1">
      <alignment vertical="center" wrapText="1"/>
    </xf>
    <xf numFmtId="0" fontId="5" fillId="2" borderId="8" xfId="0" applyFont="1" applyFill="1" applyBorder="1" applyAlignment="1">
      <alignment vertical="center"/>
    </xf>
    <xf numFmtId="3" fontId="32" fillId="0" borderId="11" xfId="0" applyNumberFormat="1" applyFont="1" applyBorder="1" applyAlignment="1">
      <alignment horizontal="left" vertical="center" wrapText="1"/>
    </xf>
    <xf numFmtId="3" fontId="28" fillId="0" borderId="11" xfId="0" applyNumberFormat="1" applyFont="1" applyBorder="1" applyAlignment="1">
      <alignment horizontal="center" vertical="center" wrapText="1"/>
    </xf>
    <xf numFmtId="0" fontId="28" fillId="2" borderId="3" xfId="0" applyFont="1" applyFill="1" applyBorder="1" applyAlignment="1">
      <alignment horizontal="left" vertical="center" wrapText="1"/>
    </xf>
    <xf numFmtId="3" fontId="5" fillId="2" borderId="11" xfId="0" applyNumberFormat="1" applyFont="1" applyFill="1" applyBorder="1" applyAlignment="1">
      <alignment horizontal="center" vertical="center"/>
    </xf>
    <xf numFmtId="0" fontId="5" fillId="2" borderId="8" xfId="0" applyFont="1" applyFill="1" applyBorder="1" applyAlignment="1">
      <alignment horizontal="left" vertical="center"/>
    </xf>
    <xf numFmtId="0" fontId="32" fillId="0" borderId="3" xfId="0" applyFont="1" applyBorder="1" applyAlignment="1">
      <alignment horizontal="left" vertical="center" wrapText="1"/>
    </xf>
    <xf numFmtId="0" fontId="32" fillId="0" borderId="11" xfId="0" applyFont="1" applyBorder="1" applyAlignment="1">
      <alignment horizontal="left" vertical="center" wrapText="1"/>
    </xf>
    <xf numFmtId="9" fontId="5" fillId="5" borderId="11" xfId="0" applyNumberFormat="1" applyFont="1" applyFill="1" applyBorder="1" applyAlignment="1">
      <alignment horizontal="center" vertical="center" wrapText="1"/>
    </xf>
    <xf numFmtId="0" fontId="32" fillId="2" borderId="3" xfId="0" applyFont="1" applyFill="1" applyBorder="1" applyAlignment="1">
      <alignment horizontal="left" vertical="center" wrapText="1"/>
    </xf>
    <xf numFmtId="9" fontId="49" fillId="7" borderId="27" xfId="3" applyFont="1" applyFill="1" applyBorder="1" applyAlignment="1">
      <alignment horizontal="center" vertical="center"/>
    </xf>
    <xf numFmtId="9" fontId="41" fillId="0" borderId="12" xfId="3" applyFont="1" applyFill="1" applyBorder="1" applyAlignment="1">
      <alignment horizontal="center" vertical="center" wrapText="1"/>
    </xf>
    <xf numFmtId="165" fontId="5" fillId="5" borderId="9" xfId="0" applyNumberFormat="1" applyFont="1" applyFill="1" applyBorder="1" applyAlignment="1">
      <alignment horizontal="center" vertical="center" wrapText="1"/>
    </xf>
    <xf numFmtId="0" fontId="51" fillId="2" borderId="27" xfId="0" applyFont="1" applyFill="1" applyBorder="1" applyAlignment="1">
      <alignment horizontal="center" vertical="center" wrapText="1"/>
    </xf>
    <xf numFmtId="0" fontId="51" fillId="2" borderId="32" xfId="0" applyFont="1" applyFill="1" applyBorder="1" applyAlignment="1">
      <alignment horizontal="center" vertical="center"/>
    </xf>
    <xf numFmtId="14" fontId="51" fillId="2" borderId="12" xfId="0" applyNumberFormat="1" applyFont="1" applyFill="1" applyBorder="1" applyAlignment="1">
      <alignment horizontal="center" vertical="center"/>
    </xf>
    <xf numFmtId="0" fontId="41" fillId="2" borderId="25" xfId="0" applyFont="1" applyFill="1" applyBorder="1" applyAlignment="1">
      <alignment horizontal="left" vertical="center"/>
    </xf>
    <xf numFmtId="0" fontId="41" fillId="2" borderId="31" xfId="0" applyFont="1" applyFill="1" applyBorder="1" applyAlignment="1">
      <alignment horizontal="left" vertical="center"/>
    </xf>
    <xf numFmtId="0" fontId="8" fillId="3" borderId="27" xfId="0" applyFont="1" applyFill="1" applyBorder="1" applyAlignment="1">
      <alignment horizontal="center" vertical="center" wrapText="1"/>
    </xf>
    <xf numFmtId="0" fontId="8" fillId="2" borderId="8" xfId="0" applyFont="1" applyFill="1" applyBorder="1" applyAlignment="1">
      <alignment horizontal="center" vertical="center"/>
    </xf>
    <xf numFmtId="0" fontId="26" fillId="2" borderId="9" xfId="0" applyFont="1" applyFill="1" applyBorder="1" applyAlignment="1">
      <alignment horizontal="center" vertical="center" wrapText="1"/>
    </xf>
    <xf numFmtId="164" fontId="40" fillId="7" borderId="9" xfId="0" applyNumberFormat="1" applyFont="1" applyFill="1" applyBorder="1" applyAlignment="1">
      <alignment horizontal="center" vertical="center"/>
    </xf>
    <xf numFmtId="0" fontId="50" fillId="0" borderId="0" xfId="0" applyFont="1" applyAlignment="1">
      <alignment wrapText="1"/>
    </xf>
    <xf numFmtId="0" fontId="0" fillId="0" borderId="0" xfId="0" applyAlignment="1">
      <alignment horizontal="center" vertical="center"/>
    </xf>
    <xf numFmtId="3" fontId="0" fillId="0" borderId="0" xfId="0" applyNumberFormat="1" applyAlignment="1">
      <alignment horizontal="center" vertical="center"/>
    </xf>
    <xf numFmtId="0" fontId="21" fillId="4" borderId="29" xfId="0" applyFont="1" applyFill="1" applyBorder="1" applyAlignment="1">
      <alignment horizontal="center" vertical="center" wrapText="1"/>
    </xf>
    <xf numFmtId="1" fontId="21" fillId="4" borderId="37" xfId="3" applyNumberFormat="1" applyFont="1" applyFill="1" applyBorder="1" applyAlignment="1">
      <alignment horizontal="center" vertical="center"/>
    </xf>
    <xf numFmtId="164" fontId="39" fillId="4" borderId="3" xfId="3" applyNumberFormat="1" applyFont="1" applyFill="1" applyBorder="1" applyAlignment="1">
      <alignment horizontal="center" vertical="center"/>
    </xf>
    <xf numFmtId="0" fontId="21" fillId="0" borderId="8" xfId="0" applyFont="1" applyBorder="1" applyAlignment="1">
      <alignment horizontal="left" vertical="center" wrapText="1"/>
    </xf>
    <xf numFmtId="9" fontId="21" fillId="5" borderId="11" xfId="0" applyNumberFormat="1" applyFont="1" applyFill="1" applyBorder="1" applyAlignment="1">
      <alignment horizontal="center" vertical="center" wrapText="1"/>
    </xf>
    <xf numFmtId="0" fontId="21" fillId="0" borderId="8" xfId="0" applyFont="1" applyBorder="1" applyAlignment="1">
      <alignment horizontal="left" vertical="center" wrapText="1" indent="2"/>
    </xf>
    <xf numFmtId="0" fontId="21" fillId="0" borderId="31" xfId="0" applyFont="1" applyBorder="1" applyAlignment="1">
      <alignment horizontal="left" vertical="center" wrapText="1"/>
    </xf>
    <xf numFmtId="0" fontId="54" fillId="5" borderId="0" xfId="0" applyFont="1" applyFill="1"/>
    <xf numFmtId="9" fontId="0" fillId="0" borderId="0" xfId="3" applyFont="1" applyAlignment="1">
      <alignment horizontal="center" vertical="center"/>
    </xf>
    <xf numFmtId="9" fontId="0" fillId="0" borderId="0" xfId="0" applyNumberFormat="1" applyAlignment="1">
      <alignment horizontal="center" vertical="center"/>
    </xf>
    <xf numFmtId="164" fontId="0" fillId="0" borderId="0" xfId="0" applyNumberFormat="1" applyAlignment="1">
      <alignment horizontal="center" vertical="center"/>
    </xf>
    <xf numFmtId="0" fontId="28" fillId="0" borderId="3" xfId="0" applyFont="1" applyBorder="1" applyAlignment="1">
      <alignment vertical="center" wrapText="1"/>
    </xf>
    <xf numFmtId="2" fontId="21" fillId="4" borderId="32" xfId="3" applyNumberFormat="1" applyFont="1" applyFill="1" applyBorder="1" applyAlignment="1">
      <alignment horizontal="center" vertical="center"/>
    </xf>
    <xf numFmtId="2" fontId="21" fillId="4" borderId="7" xfId="3" applyNumberFormat="1" applyFont="1" applyFill="1" applyBorder="1" applyAlignment="1">
      <alignment horizontal="center" vertical="center"/>
    </xf>
    <xf numFmtId="4" fontId="32" fillId="0" borderId="3" xfId="0" applyNumberFormat="1" applyFont="1" applyBorder="1" applyAlignment="1">
      <alignment horizontal="center" vertical="center" wrapText="1"/>
    </xf>
    <xf numFmtId="165" fontId="21" fillId="5" borderId="9" xfId="0" applyNumberFormat="1" applyFont="1" applyFill="1" applyBorder="1" applyAlignment="1">
      <alignment horizontal="center" vertical="center" wrapText="1"/>
    </xf>
    <xf numFmtId="3" fontId="5" fillId="5" borderId="9" xfId="0" applyNumberFormat="1" applyFont="1" applyFill="1" applyBorder="1" applyAlignment="1">
      <alignment horizontal="center" vertical="center" wrapText="1"/>
    </xf>
    <xf numFmtId="0" fontId="20" fillId="2" borderId="25" xfId="0" applyFont="1" applyFill="1" applyBorder="1" applyAlignment="1">
      <alignment horizontal="left" vertical="center"/>
    </xf>
    <xf numFmtId="0" fontId="20" fillId="2" borderId="8"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8" fillId="2" borderId="25" xfId="0" applyFont="1" applyFill="1" applyBorder="1" applyAlignment="1">
      <alignment horizontal="left" vertical="center"/>
    </xf>
    <xf numFmtId="0" fontId="5" fillId="2" borderId="8"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21" fillId="5" borderId="12" xfId="0" applyFont="1" applyFill="1" applyBorder="1" applyAlignment="1">
      <alignment horizontal="center" vertical="center"/>
    </xf>
    <xf numFmtId="0" fontId="50" fillId="0" borderId="0" xfId="0" applyFont="1" applyAlignment="1">
      <alignment horizontal="left" vertical="center" wrapText="1"/>
    </xf>
    <xf numFmtId="4" fontId="21" fillId="4" borderId="32" xfId="3" applyNumberFormat="1" applyFont="1" applyFill="1" applyBorder="1" applyAlignment="1">
      <alignment horizontal="center" vertical="center"/>
    </xf>
    <xf numFmtId="4" fontId="21" fillId="4" borderId="7" xfId="3" applyNumberFormat="1" applyFont="1" applyFill="1" applyBorder="1" applyAlignment="1">
      <alignment horizontal="center" vertical="center"/>
    </xf>
    <xf numFmtId="0" fontId="2" fillId="5" borderId="0" xfId="0" applyFont="1" applyFill="1" applyAlignment="1">
      <alignment horizontal="center" vertical="center" wrapText="1"/>
    </xf>
    <xf numFmtId="1" fontId="21" fillId="2" borderId="12" xfId="0" applyNumberFormat="1" applyFont="1" applyFill="1" applyBorder="1" applyAlignment="1">
      <alignment horizontal="center" vertical="center"/>
    </xf>
    <xf numFmtId="49" fontId="5" fillId="5" borderId="9" xfId="0" applyNumberFormat="1" applyFont="1" applyFill="1" applyBorder="1" applyAlignment="1">
      <alignment horizontal="center" vertical="center" wrapText="1"/>
    </xf>
    <xf numFmtId="49" fontId="21" fillId="5" borderId="27" xfId="0" applyNumberFormat="1" applyFont="1" applyFill="1" applyBorder="1" applyAlignment="1">
      <alignment horizontal="center" vertical="center" wrapText="1"/>
    </xf>
    <xf numFmtId="3" fontId="21" fillId="0" borderId="3" xfId="0" applyNumberFormat="1" applyFont="1" applyBorder="1" applyAlignment="1">
      <alignment horizontal="center" vertical="center" wrapText="1"/>
    </xf>
    <xf numFmtId="0" fontId="55" fillId="0" borderId="9" xfId="0" applyFont="1" applyBorder="1" applyAlignment="1">
      <alignment horizontal="left" vertical="center" wrapText="1"/>
    </xf>
    <xf numFmtId="49" fontId="5" fillId="5" borderId="27" xfId="0" applyNumberFormat="1" applyFont="1" applyFill="1" applyBorder="1" applyAlignment="1">
      <alignment horizontal="center" vertical="center" wrapText="1"/>
    </xf>
    <xf numFmtId="0" fontId="21" fillId="0" borderId="8" xfId="0" applyFont="1" applyBorder="1" applyAlignment="1">
      <alignment vertical="center" wrapText="1"/>
    </xf>
    <xf numFmtId="0" fontId="21" fillId="2" borderId="3" xfId="0" applyFont="1" applyFill="1" applyBorder="1" applyAlignment="1">
      <alignment horizontal="center" vertical="center" wrapText="1"/>
    </xf>
    <xf numFmtId="0" fontId="21" fillId="2" borderId="3" xfId="0" applyFont="1" applyFill="1" applyBorder="1"/>
    <xf numFmtId="0" fontId="21" fillId="2" borderId="3" xfId="0" applyFont="1" applyFill="1" applyBorder="1" applyAlignment="1">
      <alignment horizontal="center" vertical="center"/>
    </xf>
    <xf numFmtId="3" fontId="21" fillId="2" borderId="3" xfId="0" applyNumberFormat="1" applyFont="1" applyFill="1" applyBorder="1" applyAlignment="1">
      <alignment horizontal="center" vertical="center"/>
    </xf>
    <xf numFmtId="0" fontId="56" fillId="2" borderId="0" xfId="5" applyFill="1" applyAlignment="1">
      <alignment vertical="center"/>
    </xf>
    <xf numFmtId="0" fontId="17" fillId="0" borderId="0" xfId="1" applyFont="1" applyAlignment="1">
      <alignment horizontal="left" vertical="center" wrapText="1"/>
    </xf>
    <xf numFmtId="0" fontId="11" fillId="0" borderId="0" xfId="1" applyFont="1" applyAlignment="1">
      <alignment horizontal="center" vertical="center" wrapText="1"/>
    </xf>
    <xf numFmtId="0" fontId="13" fillId="2" borderId="13" xfId="1" applyFont="1" applyFill="1" applyBorder="1" applyAlignment="1">
      <alignment horizontal="center" vertical="center" wrapText="1"/>
    </xf>
    <xf numFmtId="0" fontId="13" fillId="2" borderId="14" xfId="1" applyFont="1" applyFill="1" applyBorder="1" applyAlignment="1">
      <alignment horizontal="center" vertical="center" wrapText="1"/>
    </xf>
    <xf numFmtId="0" fontId="13" fillId="2" borderId="15" xfId="1" applyFont="1" applyFill="1" applyBorder="1" applyAlignment="1">
      <alignment horizontal="center" vertical="center" wrapText="1"/>
    </xf>
    <xf numFmtId="0" fontId="14" fillId="5" borderId="16" xfId="1" applyFont="1" applyFill="1" applyBorder="1" applyAlignment="1">
      <alignment horizontal="center" vertical="center"/>
    </xf>
    <xf numFmtId="0" fontId="14" fillId="5" borderId="17" xfId="1" applyFont="1" applyFill="1" applyBorder="1" applyAlignment="1">
      <alignment horizontal="center" vertical="center"/>
    </xf>
    <xf numFmtId="0" fontId="14" fillId="5" borderId="18" xfId="1" applyFont="1" applyFill="1" applyBorder="1" applyAlignment="1">
      <alignment horizontal="center" vertical="center"/>
    </xf>
    <xf numFmtId="0" fontId="15" fillId="2" borderId="16" xfId="1" applyFont="1" applyFill="1" applyBorder="1" applyAlignment="1">
      <alignment horizontal="center" vertical="center"/>
    </xf>
    <xf numFmtId="0" fontId="15" fillId="2" borderId="17" xfId="1" applyFont="1" applyFill="1" applyBorder="1" applyAlignment="1">
      <alignment horizontal="center" vertical="center"/>
    </xf>
    <xf numFmtId="0" fontId="15" fillId="2" borderId="18" xfId="1" applyFont="1" applyFill="1" applyBorder="1" applyAlignment="1">
      <alignment horizontal="center" vertical="center"/>
    </xf>
    <xf numFmtId="0" fontId="30" fillId="4" borderId="19" xfId="1" applyFont="1" applyFill="1" applyBorder="1" applyAlignment="1">
      <alignment horizontal="center" vertical="center" wrapText="1"/>
    </xf>
    <xf numFmtId="0" fontId="30" fillId="4" borderId="20" xfId="1" applyFont="1" applyFill="1" applyBorder="1" applyAlignment="1">
      <alignment horizontal="center" vertical="center" wrapText="1"/>
    </xf>
    <xf numFmtId="0" fontId="30" fillId="4" borderId="21" xfId="1" applyFont="1" applyFill="1" applyBorder="1" applyAlignment="1">
      <alignment horizontal="center" vertical="center" wrapText="1"/>
    </xf>
    <xf numFmtId="0" fontId="38" fillId="2" borderId="3" xfId="0" applyFont="1" applyFill="1" applyBorder="1" applyAlignment="1">
      <alignment horizontal="center" vertical="center"/>
    </xf>
    <xf numFmtId="0" fontId="38" fillId="9" borderId="25" xfId="0" applyFont="1" applyFill="1" applyBorder="1" applyAlignment="1">
      <alignment horizontal="center" vertical="center"/>
    </xf>
    <xf numFmtId="0" fontId="38" fillId="9" borderId="28" xfId="0" applyFont="1" applyFill="1" applyBorder="1" applyAlignment="1">
      <alignment horizontal="center" vertical="center"/>
    </xf>
    <xf numFmtId="0" fontId="38" fillId="9" borderId="27" xfId="0" applyFont="1" applyFill="1" applyBorder="1" applyAlignment="1">
      <alignment horizontal="center" vertical="center"/>
    </xf>
    <xf numFmtId="0" fontId="46" fillId="8" borderId="0" xfId="0" applyFont="1" applyFill="1" applyAlignment="1">
      <alignment horizontal="left" vertical="center"/>
    </xf>
    <xf numFmtId="0" fontId="37" fillId="2" borderId="22" xfId="0" applyFont="1" applyFill="1" applyBorder="1" applyAlignment="1">
      <alignment horizontal="center" vertical="center"/>
    </xf>
    <xf numFmtId="0" fontId="37" fillId="2" borderId="23" xfId="0" applyFont="1" applyFill="1" applyBorder="1" applyAlignment="1">
      <alignment horizontal="center" vertical="center"/>
    </xf>
    <xf numFmtId="0" fontId="37" fillId="2" borderId="24" xfId="0" applyFont="1" applyFill="1" applyBorder="1" applyAlignment="1">
      <alignment horizontal="center" vertical="center"/>
    </xf>
    <xf numFmtId="0" fontId="38" fillId="9" borderId="13" xfId="0" applyFont="1" applyFill="1" applyBorder="1" applyAlignment="1">
      <alignment horizontal="center" vertical="center"/>
    </xf>
    <xf numFmtId="0" fontId="38" fillId="9" borderId="14" xfId="0" applyFont="1" applyFill="1" applyBorder="1" applyAlignment="1">
      <alignment horizontal="center" vertical="center"/>
    </xf>
    <xf numFmtId="0" fontId="38" fillId="9" borderId="15"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37" fillId="3" borderId="22" xfId="0" applyFont="1" applyFill="1" applyBorder="1" applyAlignment="1">
      <alignment horizontal="center" vertical="center"/>
    </xf>
    <xf numFmtId="0" fontId="37" fillId="3" borderId="23" xfId="0" applyFont="1" applyFill="1" applyBorder="1" applyAlignment="1">
      <alignment horizontal="center" vertical="center"/>
    </xf>
    <xf numFmtId="0" fontId="37" fillId="3" borderId="24" xfId="0" applyFont="1" applyFill="1" applyBorder="1" applyAlignment="1">
      <alignment horizontal="center" vertical="center"/>
    </xf>
    <xf numFmtId="0" fontId="7" fillId="6" borderId="25" xfId="0" applyFont="1" applyFill="1" applyBorder="1" applyAlignment="1">
      <alignment horizontal="center" vertical="center"/>
    </xf>
    <xf numFmtId="0" fontId="7" fillId="6" borderId="10" xfId="0" applyFont="1" applyFill="1" applyBorder="1" applyAlignment="1">
      <alignment horizontal="center" vertical="center"/>
    </xf>
    <xf numFmtId="0" fontId="24" fillId="6" borderId="25" xfId="0" applyFont="1" applyFill="1" applyBorder="1" applyAlignment="1">
      <alignment horizontal="center" vertical="center"/>
    </xf>
    <xf numFmtId="0" fontId="24" fillId="6" borderId="31" xfId="0" applyFont="1" applyFill="1" applyBorder="1" applyAlignment="1">
      <alignment horizontal="center" vertical="center"/>
    </xf>
    <xf numFmtId="0" fontId="7" fillId="4" borderId="34" xfId="0" applyFont="1" applyFill="1" applyBorder="1" applyAlignment="1">
      <alignment horizontal="center" vertical="center" wrapText="1"/>
    </xf>
    <xf numFmtId="0" fontId="7" fillId="4" borderId="35"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7" fillId="4" borderId="37" xfId="0" applyFont="1" applyFill="1" applyBorder="1" applyAlignment="1">
      <alignment horizontal="center" vertical="center" wrapText="1"/>
    </xf>
    <xf numFmtId="0" fontId="24" fillId="4" borderId="34" xfId="0" applyFont="1" applyFill="1" applyBorder="1" applyAlignment="1">
      <alignment horizontal="center" vertical="center" wrapText="1"/>
    </xf>
    <xf numFmtId="0" fontId="24" fillId="4" borderId="35" xfId="0" applyFont="1" applyFill="1" applyBorder="1" applyAlignment="1">
      <alignment horizontal="center" vertical="center" wrapText="1"/>
    </xf>
    <xf numFmtId="0" fontId="24" fillId="4" borderId="5" xfId="0" applyFont="1" applyFill="1" applyBorder="1" applyAlignment="1">
      <alignment horizontal="center" vertical="center" wrapText="1"/>
    </xf>
    <xf numFmtId="0" fontId="24" fillId="4" borderId="39"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6" borderId="26" xfId="0" applyFont="1" applyFill="1" applyBorder="1" applyAlignment="1">
      <alignment horizontal="center" vertical="center"/>
    </xf>
    <xf numFmtId="0" fontId="7" fillId="6" borderId="29" xfId="0" applyFont="1" applyFill="1" applyBorder="1" applyAlignment="1">
      <alignment horizontal="center" vertical="center"/>
    </xf>
    <xf numFmtId="0" fontId="7" fillId="6" borderId="4" xfId="0" applyFont="1" applyFill="1" applyBorder="1" applyAlignment="1">
      <alignment horizontal="center" vertical="center"/>
    </xf>
    <xf numFmtId="0" fontId="7" fillId="6" borderId="28" xfId="0" applyFont="1" applyFill="1" applyBorder="1" applyAlignment="1">
      <alignment horizontal="center" vertical="center"/>
    </xf>
    <xf numFmtId="0" fontId="7" fillId="6" borderId="11" xfId="0" applyFont="1" applyFill="1" applyBorder="1" applyAlignment="1">
      <alignment horizontal="center" vertical="center"/>
    </xf>
    <xf numFmtId="0" fontId="20" fillId="0" borderId="31" xfId="0" applyFont="1" applyBorder="1" applyAlignment="1">
      <alignment horizontal="left" vertical="center" wrapText="1"/>
    </xf>
    <xf numFmtId="0" fontId="20" fillId="0" borderId="6" xfId="0" applyFont="1" applyBorder="1" applyAlignment="1">
      <alignment horizontal="left" vertical="center" wrapText="1"/>
    </xf>
    <xf numFmtId="0" fontId="29" fillId="0" borderId="40" xfId="0" applyFont="1" applyBorder="1" applyAlignment="1">
      <alignment horizontal="left" vertical="center" wrapText="1"/>
    </xf>
    <xf numFmtId="0" fontId="29" fillId="0" borderId="41" xfId="0" applyFont="1" applyBorder="1" applyAlignment="1">
      <alignment horizontal="left" vertical="center" wrapText="1"/>
    </xf>
    <xf numFmtId="0" fontId="29" fillId="0" borderId="1" xfId="0" applyFont="1" applyBorder="1" applyAlignment="1">
      <alignment horizontal="left" vertical="center" wrapText="1"/>
    </xf>
    <xf numFmtId="0" fontId="29" fillId="0" borderId="2" xfId="0" applyFont="1" applyBorder="1" applyAlignment="1">
      <alignment horizontal="left" vertical="center" wrapText="1"/>
    </xf>
    <xf numFmtId="9" fontId="21" fillId="4" borderId="32" xfId="3" applyFont="1" applyFill="1" applyBorder="1" applyAlignment="1">
      <alignment horizontal="center" vertical="center"/>
    </xf>
    <xf numFmtId="9" fontId="21" fillId="4" borderId="7" xfId="3" applyFont="1" applyFill="1" applyBorder="1" applyAlignment="1">
      <alignment horizontal="center" vertical="center"/>
    </xf>
    <xf numFmtId="0" fontId="21" fillId="4" borderId="1" xfId="0" applyFont="1" applyFill="1" applyBorder="1" applyAlignment="1">
      <alignment horizontal="center" vertical="center" wrapText="1"/>
    </xf>
    <xf numFmtId="0" fontId="21" fillId="4" borderId="2" xfId="0" applyFont="1" applyFill="1" applyBorder="1" applyAlignment="1">
      <alignment horizontal="center" vertical="center" wrapText="1"/>
    </xf>
    <xf numFmtId="9" fontId="21" fillId="4" borderId="32" xfId="0" applyNumberFormat="1" applyFont="1" applyFill="1" applyBorder="1" applyAlignment="1">
      <alignment horizontal="center" vertical="center" wrapText="1"/>
    </xf>
    <xf numFmtId="9" fontId="21" fillId="4" borderId="7" xfId="0" applyNumberFormat="1" applyFont="1" applyFill="1" applyBorder="1" applyAlignment="1">
      <alignment horizontal="center" vertical="center" wrapText="1"/>
    </xf>
    <xf numFmtId="9" fontId="21" fillId="4" borderId="42" xfId="3" applyFont="1" applyFill="1" applyBorder="1" applyAlignment="1">
      <alignment horizontal="center" vertical="center"/>
    </xf>
    <xf numFmtId="3" fontId="21" fillId="4" borderId="32" xfId="0" applyNumberFormat="1" applyFont="1" applyFill="1" applyBorder="1" applyAlignment="1">
      <alignment horizontal="center" vertical="center" wrapText="1"/>
    </xf>
    <xf numFmtId="3" fontId="21" fillId="4" borderId="7" xfId="0" applyNumberFormat="1" applyFont="1" applyFill="1" applyBorder="1" applyAlignment="1">
      <alignment horizontal="center" vertical="center" wrapText="1"/>
    </xf>
    <xf numFmtId="0" fontId="20" fillId="0" borderId="8" xfId="0" applyFont="1" applyBorder="1" applyAlignment="1">
      <alignment horizontal="left" vertical="center" wrapText="1"/>
    </xf>
    <xf numFmtId="0" fontId="29" fillId="0" borderId="3" xfId="0" applyFont="1" applyBorder="1" applyAlignment="1">
      <alignment horizontal="left" vertical="center" wrapText="1"/>
    </xf>
    <xf numFmtId="0" fontId="21" fillId="4" borderId="3" xfId="0" applyFont="1" applyFill="1" applyBorder="1" applyAlignment="1">
      <alignment horizontal="center" vertical="center" wrapText="1"/>
    </xf>
    <xf numFmtId="3" fontId="21" fillId="4" borderId="9" xfId="0" applyNumberFormat="1" applyFont="1" applyFill="1" applyBorder="1" applyAlignment="1">
      <alignment horizontal="center" vertical="center" wrapText="1"/>
    </xf>
    <xf numFmtId="9" fontId="40" fillId="0" borderId="9" xfId="0" applyNumberFormat="1" applyFont="1" applyBorder="1" applyAlignment="1">
      <alignment horizontal="center" vertical="center" wrapText="1"/>
    </xf>
    <xf numFmtId="0" fontId="32" fillId="0" borderId="3" xfId="0" applyFont="1" applyBorder="1" applyAlignment="1">
      <alignment horizontal="center" vertical="center" wrapText="1"/>
    </xf>
    <xf numFmtId="3" fontId="32" fillId="0" borderId="3" xfId="0" applyNumberFormat="1" applyFont="1" applyBorder="1" applyAlignment="1">
      <alignment horizontal="center" vertical="center" wrapText="1"/>
    </xf>
    <xf numFmtId="9" fontId="32" fillId="4" borderId="3" xfId="0" applyNumberFormat="1" applyFont="1" applyFill="1" applyBorder="1" applyAlignment="1">
      <alignment horizontal="center" vertical="center"/>
    </xf>
    <xf numFmtId="0" fontId="32" fillId="0" borderId="8" xfId="0" applyFont="1" applyBorder="1" applyAlignment="1">
      <alignment horizontal="left" vertical="center" wrapText="1"/>
    </xf>
    <xf numFmtId="0" fontId="32" fillId="0" borderId="10" xfId="0" applyFont="1" applyBorder="1" applyAlignment="1">
      <alignment horizontal="left" vertical="center" wrapText="1"/>
    </xf>
    <xf numFmtId="0" fontId="32" fillId="0" borderId="3" xfId="0" applyFont="1" applyBorder="1" applyAlignment="1">
      <alignment horizontal="left" vertical="center" wrapText="1"/>
    </xf>
    <xf numFmtId="0" fontId="32" fillId="0" borderId="11" xfId="0" applyFont="1" applyBorder="1" applyAlignment="1">
      <alignment horizontal="left" vertical="center" wrapText="1"/>
    </xf>
    <xf numFmtId="9" fontId="28" fillId="0" borderId="3" xfId="3" applyFont="1" applyBorder="1" applyAlignment="1">
      <alignment horizontal="center" vertical="center" wrapText="1"/>
    </xf>
    <xf numFmtId="9" fontId="28" fillId="0" borderId="11" xfId="3" applyFont="1" applyBorder="1" applyAlignment="1">
      <alignment horizontal="center" vertical="center" wrapText="1"/>
    </xf>
    <xf numFmtId="9" fontId="40" fillId="2" borderId="3" xfId="3" applyFont="1" applyFill="1" applyBorder="1" applyAlignment="1">
      <alignment horizontal="center" vertical="center"/>
    </xf>
    <xf numFmtId="9" fontId="40" fillId="2" borderId="11" xfId="3" applyFont="1" applyFill="1" applyBorder="1" applyAlignment="1">
      <alignment horizontal="center" vertical="center"/>
    </xf>
    <xf numFmtId="0" fontId="32" fillId="0" borderId="11" xfId="0" applyFont="1" applyBorder="1" applyAlignment="1">
      <alignment horizontal="center" vertical="center" wrapText="1"/>
    </xf>
    <xf numFmtId="9" fontId="32" fillId="0" borderId="3" xfId="0" applyNumberFormat="1" applyFont="1" applyBorder="1" applyAlignment="1">
      <alignment horizontal="center" vertical="center" wrapText="1"/>
    </xf>
    <xf numFmtId="9" fontId="32" fillId="4" borderId="11" xfId="0" applyNumberFormat="1" applyFont="1" applyFill="1" applyBorder="1" applyAlignment="1">
      <alignment horizontal="center" vertical="center"/>
    </xf>
    <xf numFmtId="9" fontId="40" fillId="0" borderId="12" xfId="0" applyNumberFormat="1" applyFont="1" applyBorder="1" applyAlignment="1">
      <alignment horizontal="center" vertical="center" wrapText="1"/>
    </xf>
    <xf numFmtId="3" fontId="40" fillId="2" borderId="3" xfId="0" applyNumberFormat="1" applyFont="1" applyFill="1" applyBorder="1" applyAlignment="1">
      <alignment horizontal="center" vertical="center"/>
    </xf>
    <xf numFmtId="0" fontId="32" fillId="0" borderId="31" xfId="0" applyFont="1" applyBorder="1" applyAlignment="1">
      <alignment horizontal="left" vertical="center" wrapText="1"/>
    </xf>
    <xf numFmtId="0" fontId="32" fillId="0" borderId="47" xfId="0" applyFont="1" applyBorder="1" applyAlignment="1">
      <alignment horizontal="left" vertical="center" wrapText="1"/>
    </xf>
    <xf numFmtId="0" fontId="32" fillId="0" borderId="6" xfId="0" applyFont="1" applyBorder="1" applyAlignment="1">
      <alignment horizontal="left" vertical="center" wrapText="1"/>
    </xf>
    <xf numFmtId="3" fontId="40" fillId="2" borderId="1" xfId="0" applyNumberFormat="1" applyFont="1" applyFill="1" applyBorder="1" applyAlignment="1">
      <alignment horizontal="center" vertical="center"/>
    </xf>
    <xf numFmtId="3" fontId="40" fillId="2" borderId="4" xfId="0" applyNumberFormat="1" applyFont="1" applyFill="1" applyBorder="1" applyAlignment="1">
      <alignment horizontal="center" vertical="center"/>
    </xf>
    <xf numFmtId="3" fontId="40" fillId="2" borderId="2" xfId="0" applyNumberFormat="1" applyFont="1" applyFill="1" applyBorder="1" applyAlignment="1">
      <alignment horizontal="center" vertical="center"/>
    </xf>
    <xf numFmtId="0" fontId="32" fillId="0" borderId="1"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2" xfId="0" applyFont="1" applyBorder="1" applyAlignment="1">
      <alignment horizontal="center" vertical="center" wrapText="1"/>
    </xf>
    <xf numFmtId="3" fontId="32" fillId="0" borderId="1" xfId="0" applyNumberFormat="1" applyFont="1" applyBorder="1" applyAlignment="1">
      <alignment horizontal="center" vertical="center" wrapText="1"/>
    </xf>
    <xf numFmtId="3" fontId="32" fillId="0" borderId="4" xfId="0" applyNumberFormat="1" applyFont="1" applyBorder="1" applyAlignment="1">
      <alignment horizontal="center" vertical="center" wrapText="1"/>
    </xf>
    <xf numFmtId="3" fontId="32" fillId="0" borderId="2" xfId="0" applyNumberFormat="1" applyFont="1" applyBorder="1" applyAlignment="1">
      <alignment horizontal="center" vertical="center" wrapText="1"/>
    </xf>
    <xf numFmtId="9" fontId="32" fillId="4" borderId="1" xfId="0" applyNumberFormat="1" applyFont="1" applyFill="1" applyBorder="1" applyAlignment="1">
      <alignment horizontal="center" vertical="center"/>
    </xf>
    <xf numFmtId="9" fontId="32" fillId="4" borderId="4" xfId="0" applyNumberFormat="1" applyFont="1" applyFill="1" applyBorder="1" applyAlignment="1">
      <alignment horizontal="center" vertical="center"/>
    </xf>
    <xf numFmtId="9" fontId="32" fillId="4" borderId="2" xfId="0" applyNumberFormat="1" applyFont="1" applyFill="1" applyBorder="1" applyAlignment="1">
      <alignment horizontal="center" vertical="center"/>
    </xf>
    <xf numFmtId="9" fontId="40" fillId="0" borderId="32" xfId="0" applyNumberFormat="1" applyFont="1" applyBorder="1" applyAlignment="1">
      <alignment horizontal="center" vertical="center" wrapText="1"/>
    </xf>
    <xf numFmtId="9" fontId="40" fillId="0" borderId="42" xfId="0" applyNumberFormat="1" applyFont="1" applyBorder="1" applyAlignment="1">
      <alignment horizontal="center" vertical="center" wrapText="1"/>
    </xf>
    <xf numFmtId="9" fontId="40" fillId="0" borderId="7" xfId="0" applyNumberFormat="1" applyFont="1" applyBorder="1" applyAlignment="1">
      <alignment horizontal="center" vertical="center" wrapText="1"/>
    </xf>
    <xf numFmtId="3" fontId="28" fillId="0" borderId="3" xfId="0" applyNumberFormat="1" applyFont="1" applyBorder="1" applyAlignment="1">
      <alignment horizontal="center" vertical="center" wrapText="1"/>
    </xf>
    <xf numFmtId="9" fontId="32" fillId="2" borderId="3" xfId="3" applyFont="1" applyFill="1" applyBorder="1" applyAlignment="1">
      <alignment horizontal="center" vertical="center"/>
    </xf>
    <xf numFmtId="0" fontId="9" fillId="0" borderId="28" xfId="0" applyFont="1" applyBorder="1" applyAlignment="1">
      <alignment horizontal="center" vertical="center"/>
    </xf>
    <xf numFmtId="0" fontId="9" fillId="0" borderId="3" xfId="0" applyFont="1" applyBorder="1" applyAlignment="1">
      <alignment horizontal="center" vertical="center"/>
    </xf>
    <xf numFmtId="167" fontId="32" fillId="2" borderId="3" xfId="0" applyNumberFormat="1" applyFont="1" applyFill="1" applyBorder="1" applyAlignment="1">
      <alignment horizontal="center" vertical="center"/>
    </xf>
    <xf numFmtId="167" fontId="40" fillId="2" borderId="3" xfId="0" applyNumberFormat="1" applyFont="1" applyFill="1" applyBorder="1" applyAlignment="1">
      <alignment horizontal="center" vertical="center"/>
    </xf>
    <xf numFmtId="0" fontId="9" fillId="2" borderId="28" xfId="0" applyFont="1" applyFill="1" applyBorder="1" applyAlignment="1">
      <alignment horizontal="center" vertical="center" wrapText="1"/>
    </xf>
    <xf numFmtId="0" fontId="9" fillId="2" borderId="3" xfId="0" applyFont="1" applyFill="1" applyBorder="1" applyAlignment="1">
      <alignment horizontal="center" vertical="center" wrapText="1"/>
    </xf>
    <xf numFmtId="3" fontId="32" fillId="0" borderId="11" xfId="0" applyNumberFormat="1" applyFont="1" applyBorder="1" applyAlignment="1">
      <alignment horizontal="center" vertical="center" wrapText="1"/>
    </xf>
    <xf numFmtId="9" fontId="32" fillId="2" borderId="11" xfId="3" applyFont="1" applyFill="1" applyBorder="1" applyAlignment="1">
      <alignment horizontal="center" vertical="center"/>
    </xf>
    <xf numFmtId="4" fontId="32" fillId="2" borderId="3" xfId="0" applyNumberFormat="1" applyFont="1" applyFill="1" applyBorder="1" applyAlignment="1">
      <alignment horizontal="center" vertical="center"/>
    </xf>
    <xf numFmtId="1" fontId="32" fillId="0" borderId="3" xfId="0" applyNumberFormat="1" applyFont="1" applyBorder="1" applyAlignment="1">
      <alignment horizontal="center" vertical="center" wrapText="1"/>
    </xf>
    <xf numFmtId="0" fontId="41" fillId="6" borderId="25" xfId="0" applyFont="1" applyFill="1" applyBorder="1" applyAlignment="1">
      <alignment horizontal="center" vertical="center"/>
    </xf>
    <xf numFmtId="0" fontId="41" fillId="6" borderId="8" xfId="0" applyFont="1" applyFill="1" applyBorder="1" applyAlignment="1">
      <alignment horizontal="center" vertical="center"/>
    </xf>
    <xf numFmtId="9" fontId="41" fillId="2" borderId="6" xfId="3" applyFont="1" applyFill="1" applyBorder="1" applyAlignment="1">
      <alignment horizontal="left" vertical="center" wrapText="1"/>
    </xf>
    <xf numFmtId="9" fontId="41" fillId="2" borderId="10" xfId="3" applyFont="1" applyFill="1" applyBorder="1" applyAlignment="1">
      <alignment horizontal="left" vertical="center" wrapText="1"/>
    </xf>
    <xf numFmtId="0" fontId="45" fillId="2" borderId="22" xfId="0" applyFont="1" applyFill="1" applyBorder="1" applyAlignment="1">
      <alignment horizontal="center" vertical="center"/>
    </xf>
    <xf numFmtId="0" fontId="45" fillId="2" borderId="23" xfId="0" applyFont="1" applyFill="1" applyBorder="1" applyAlignment="1">
      <alignment horizontal="center" vertical="center"/>
    </xf>
    <xf numFmtId="0" fontId="45" fillId="2" borderId="24" xfId="0" applyFont="1" applyFill="1" applyBorder="1" applyAlignment="1">
      <alignment horizontal="center" vertical="center"/>
    </xf>
    <xf numFmtId="1" fontId="32" fillId="2" borderId="3" xfId="3" applyNumberFormat="1" applyFont="1" applyFill="1" applyBorder="1" applyAlignment="1">
      <alignment horizontal="center" vertical="center"/>
    </xf>
    <xf numFmtId="166" fontId="40" fillId="2" borderId="3" xfId="3" applyNumberFormat="1" applyFont="1" applyFill="1" applyBorder="1" applyAlignment="1">
      <alignment horizontal="center" vertical="center"/>
    </xf>
    <xf numFmtId="0" fontId="28" fillId="0" borderId="3" xfId="0" applyFont="1" applyBorder="1" applyAlignment="1">
      <alignment horizontal="left" vertical="center" wrapText="1"/>
    </xf>
    <xf numFmtId="0" fontId="28" fillId="0" borderId="11" xfId="0" applyFont="1" applyBorder="1" applyAlignment="1">
      <alignment horizontal="left" vertical="center" wrapText="1"/>
    </xf>
    <xf numFmtId="3" fontId="32" fillId="2" borderId="3" xfId="0" applyNumberFormat="1" applyFont="1" applyFill="1" applyBorder="1" applyAlignment="1">
      <alignment horizontal="center" vertical="center"/>
    </xf>
    <xf numFmtId="164" fontId="32" fillId="4" borderId="3" xfId="0" applyNumberFormat="1" applyFont="1" applyFill="1" applyBorder="1" applyAlignment="1">
      <alignment horizontal="center" vertical="center"/>
    </xf>
    <xf numFmtId="164" fontId="32" fillId="4" borderId="11" xfId="0" applyNumberFormat="1" applyFont="1" applyFill="1" applyBorder="1" applyAlignment="1">
      <alignment horizontal="center" vertical="center"/>
    </xf>
    <xf numFmtId="164" fontId="40" fillId="0" borderId="9" xfId="0" applyNumberFormat="1" applyFont="1" applyBorder="1" applyAlignment="1">
      <alignment horizontal="center" vertical="center" wrapText="1"/>
    </xf>
    <xf numFmtId="164" fontId="40" fillId="0" borderId="12" xfId="0" applyNumberFormat="1" applyFont="1" applyBorder="1" applyAlignment="1">
      <alignment horizontal="center" vertical="center" wrapText="1"/>
    </xf>
    <xf numFmtId="166" fontId="40" fillId="2" borderId="11" xfId="3" applyNumberFormat="1" applyFont="1" applyFill="1" applyBorder="1" applyAlignment="1">
      <alignment horizontal="center" vertical="center"/>
    </xf>
    <xf numFmtId="1" fontId="32" fillId="2" borderId="11" xfId="3" applyNumberFormat="1" applyFont="1" applyFill="1" applyBorder="1" applyAlignment="1">
      <alignment horizontal="center" vertical="center"/>
    </xf>
    <xf numFmtId="4" fontId="40" fillId="0" borderId="3" xfId="3" applyNumberFormat="1" applyFont="1" applyFill="1" applyBorder="1" applyAlignment="1">
      <alignment horizontal="center" vertical="center"/>
    </xf>
    <xf numFmtId="3" fontId="39" fillId="0" borderId="3" xfId="3" applyNumberFormat="1" applyFont="1" applyFill="1" applyBorder="1" applyAlignment="1">
      <alignment horizontal="center" vertical="center"/>
    </xf>
    <xf numFmtId="4" fontId="32" fillId="0" borderId="3" xfId="0" applyNumberFormat="1" applyFont="1" applyBorder="1" applyAlignment="1">
      <alignment horizontal="center" vertical="center" wrapText="1"/>
    </xf>
    <xf numFmtId="164" fontId="40" fillId="2" borderId="3" xfId="3" applyNumberFormat="1" applyFont="1" applyFill="1" applyBorder="1" applyAlignment="1">
      <alignment horizontal="center" vertical="center"/>
    </xf>
    <xf numFmtId="3" fontId="32" fillId="2" borderId="3" xfId="3" applyNumberFormat="1" applyFont="1" applyFill="1" applyBorder="1" applyAlignment="1">
      <alignment horizontal="center" vertical="center"/>
    </xf>
    <xf numFmtId="167" fontId="40" fillId="2" borderId="3" xfId="3" applyNumberFormat="1" applyFont="1" applyFill="1" applyBorder="1" applyAlignment="1">
      <alignment horizontal="center" vertical="center"/>
    </xf>
    <xf numFmtId="166" fontId="32" fillId="2" borderId="3" xfId="3" applyNumberFormat="1" applyFont="1" applyFill="1" applyBorder="1" applyAlignment="1">
      <alignment horizontal="center" vertical="center"/>
    </xf>
    <xf numFmtId="164" fontId="40" fillId="2" borderId="11" xfId="3" applyNumberFormat="1" applyFont="1" applyFill="1" applyBorder="1" applyAlignment="1">
      <alignment horizontal="center" vertical="center"/>
    </xf>
    <xf numFmtId="3" fontId="39" fillId="2" borderId="3" xfId="3" applyNumberFormat="1" applyFont="1" applyFill="1" applyBorder="1" applyAlignment="1">
      <alignment horizontal="center" vertical="center"/>
    </xf>
    <xf numFmtId="3" fontId="39" fillId="2" borderId="11" xfId="3" applyNumberFormat="1" applyFont="1" applyFill="1" applyBorder="1" applyAlignment="1">
      <alignment horizontal="center" vertical="center"/>
    </xf>
    <xf numFmtId="166" fontId="40" fillId="2" borderId="3" xfId="0" applyNumberFormat="1" applyFont="1" applyFill="1" applyBorder="1" applyAlignment="1">
      <alignment horizontal="center" vertical="center"/>
    </xf>
    <xf numFmtId="166" fontId="40" fillId="2" borderId="11" xfId="0" applyNumberFormat="1" applyFont="1" applyFill="1" applyBorder="1" applyAlignment="1">
      <alignment horizontal="center" vertical="center"/>
    </xf>
    <xf numFmtId="164" fontId="40" fillId="2" borderId="1" xfId="3" applyNumberFormat="1" applyFont="1" applyFill="1" applyBorder="1" applyAlignment="1">
      <alignment horizontal="center" vertical="center"/>
    </xf>
    <xf numFmtId="164" fontId="40" fillId="2" borderId="4" xfId="3" applyNumberFormat="1" applyFont="1" applyFill="1" applyBorder="1" applyAlignment="1">
      <alignment horizontal="center" vertical="center"/>
    </xf>
    <xf numFmtId="164" fontId="40" fillId="2" borderId="2" xfId="3" applyNumberFormat="1" applyFont="1" applyFill="1" applyBorder="1" applyAlignment="1">
      <alignment horizontal="center" vertical="center"/>
    </xf>
    <xf numFmtId="9" fontId="32" fillId="0" borderId="1" xfId="0" applyNumberFormat="1" applyFont="1" applyBorder="1" applyAlignment="1">
      <alignment horizontal="center" vertical="center" wrapText="1"/>
    </xf>
    <xf numFmtId="9" fontId="32" fillId="0" borderId="4" xfId="0" applyNumberFormat="1" applyFont="1" applyBorder="1" applyAlignment="1">
      <alignment horizontal="center" vertical="center" wrapText="1"/>
    </xf>
    <xf numFmtId="9" fontId="32" fillId="0" borderId="2" xfId="0" applyNumberFormat="1" applyFont="1" applyBorder="1" applyAlignment="1">
      <alignment horizontal="center" vertical="center" wrapText="1"/>
    </xf>
    <xf numFmtId="3" fontId="32" fillId="0" borderId="3" xfId="0" applyNumberFormat="1" applyFont="1" applyBorder="1" applyAlignment="1">
      <alignment horizontal="left" vertical="center" wrapText="1"/>
    </xf>
    <xf numFmtId="0" fontId="32" fillId="0" borderId="8" xfId="0" applyFont="1" applyBorder="1" applyAlignment="1">
      <alignment vertical="center" wrapText="1"/>
    </xf>
    <xf numFmtId="0" fontId="32" fillId="2" borderId="8" xfId="0" applyFont="1" applyFill="1" applyBorder="1" applyAlignment="1">
      <alignment horizontal="left" vertical="center" wrapText="1"/>
    </xf>
    <xf numFmtId="0" fontId="32" fillId="2" borderId="10" xfId="0" applyFont="1" applyFill="1" applyBorder="1" applyAlignment="1">
      <alignment horizontal="left" vertical="center" wrapText="1"/>
    </xf>
    <xf numFmtId="164" fontId="40" fillId="0" borderId="3" xfId="3" applyNumberFormat="1" applyFont="1" applyFill="1" applyBorder="1" applyAlignment="1">
      <alignment horizontal="center" vertical="center"/>
    </xf>
    <xf numFmtId="164" fontId="40" fillId="0" borderId="11" xfId="3" applyNumberFormat="1" applyFont="1" applyFill="1" applyBorder="1" applyAlignment="1">
      <alignment horizontal="center" vertical="center"/>
    </xf>
    <xf numFmtId="0" fontId="32" fillId="2" borderId="3" xfId="0" applyFont="1" applyFill="1" applyBorder="1" applyAlignment="1">
      <alignment horizontal="center" vertical="center" wrapText="1"/>
    </xf>
    <xf numFmtId="0" fontId="32" fillId="2" borderId="11" xfId="0" applyFont="1" applyFill="1" applyBorder="1" applyAlignment="1">
      <alignment horizontal="center" vertical="center" wrapText="1"/>
    </xf>
    <xf numFmtId="9" fontId="32" fillId="2" borderId="3" xfId="0" applyNumberFormat="1" applyFont="1" applyFill="1" applyBorder="1" applyAlignment="1">
      <alignment horizontal="center" vertical="center" wrapText="1"/>
    </xf>
    <xf numFmtId="0" fontId="19" fillId="8" borderId="0" xfId="0" applyFont="1" applyFill="1" applyAlignment="1">
      <alignment horizontal="left" vertical="center"/>
    </xf>
    <xf numFmtId="0" fontId="21" fillId="0" borderId="46" xfId="0" applyFont="1" applyBorder="1" applyAlignment="1">
      <alignment horizontal="left" vertical="center" wrapText="1"/>
    </xf>
    <xf numFmtId="0" fontId="21" fillId="0" borderId="18" xfId="0" applyFont="1" applyBorder="1" applyAlignment="1">
      <alignment horizontal="left" vertical="center" wrapText="1"/>
    </xf>
    <xf numFmtId="9" fontId="5" fillId="4" borderId="32" xfId="3" applyFont="1" applyFill="1" applyBorder="1" applyAlignment="1">
      <alignment horizontal="center" vertical="center"/>
    </xf>
    <xf numFmtId="9" fontId="5" fillId="4" borderId="7" xfId="3" applyFont="1" applyFill="1" applyBorder="1" applyAlignment="1">
      <alignment horizontal="center" vertical="center"/>
    </xf>
    <xf numFmtId="0" fontId="21" fillId="2" borderId="31" xfId="0" applyFont="1" applyFill="1" applyBorder="1" applyAlignment="1">
      <alignment horizontal="left" vertical="center" wrapText="1"/>
    </xf>
    <xf numFmtId="0" fontId="21" fillId="2" borderId="6"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20" fillId="0" borderId="48" xfId="0" applyFont="1" applyBorder="1" applyAlignment="1">
      <alignment horizontal="left" vertical="center" wrapText="1"/>
    </xf>
    <xf numFmtId="0" fontId="5" fillId="4" borderId="3" xfId="0" applyFont="1" applyFill="1" applyBorder="1" applyAlignment="1">
      <alignment horizontal="center" vertical="center" wrapText="1"/>
    </xf>
    <xf numFmtId="9" fontId="5" fillId="4" borderId="9" xfId="0" applyNumberFormat="1" applyFont="1" applyFill="1" applyBorder="1" applyAlignment="1">
      <alignment horizontal="center" vertical="center" wrapText="1"/>
    </xf>
    <xf numFmtId="0" fontId="7" fillId="6" borderId="31" xfId="0" applyFont="1" applyFill="1" applyBorder="1" applyAlignment="1">
      <alignment horizontal="center" vertical="center"/>
    </xf>
    <xf numFmtId="0" fontId="7" fillId="4" borderId="5" xfId="0" applyFont="1" applyFill="1" applyBorder="1" applyAlignment="1">
      <alignment horizontal="center" vertical="center" wrapText="1"/>
    </xf>
    <xf numFmtId="0" fontId="7" fillId="4" borderId="39" xfId="0" applyFont="1" applyFill="1" applyBorder="1" applyAlignment="1">
      <alignment horizontal="center" vertical="center" wrapText="1"/>
    </xf>
    <xf numFmtId="0" fontId="29" fillId="0" borderId="29" xfId="0" applyFont="1" applyBorder="1" applyAlignment="1">
      <alignment horizontal="left" vertical="center" wrapText="1"/>
    </xf>
    <xf numFmtId="0" fontId="29" fillId="0" borderId="46" xfId="0" applyFont="1" applyBorder="1" applyAlignment="1">
      <alignment horizontal="left" vertical="center" wrapText="1"/>
    </xf>
    <xf numFmtId="1" fontId="32" fillId="0" borderId="11" xfId="0" applyNumberFormat="1" applyFont="1" applyBorder="1" applyAlignment="1">
      <alignment horizontal="center" vertical="center" wrapText="1"/>
    </xf>
    <xf numFmtId="164" fontId="40" fillId="0" borderId="32" xfId="0" applyNumberFormat="1" applyFont="1" applyBorder="1" applyAlignment="1">
      <alignment horizontal="center" vertical="center" wrapText="1"/>
    </xf>
    <xf numFmtId="164" fontId="40" fillId="0" borderId="42" xfId="0" applyNumberFormat="1" applyFont="1" applyBorder="1" applyAlignment="1">
      <alignment horizontal="center" vertical="center" wrapText="1"/>
    </xf>
    <xf numFmtId="164" fontId="40" fillId="0" borderId="7" xfId="0" applyNumberFormat="1" applyFont="1" applyBorder="1" applyAlignment="1">
      <alignment horizontal="center" vertical="center" wrapText="1"/>
    </xf>
    <xf numFmtId="9" fontId="40" fillId="2" borderId="3" xfId="0" applyNumberFormat="1" applyFont="1" applyFill="1" applyBorder="1" applyAlignment="1">
      <alignment horizontal="center" vertical="center"/>
    </xf>
    <xf numFmtId="9" fontId="40" fillId="2" borderId="11" xfId="0" applyNumberFormat="1" applyFont="1" applyFill="1" applyBorder="1" applyAlignment="1">
      <alignment horizontal="center" vertical="center"/>
    </xf>
    <xf numFmtId="9" fontId="32" fillId="0" borderId="11" xfId="0" applyNumberFormat="1" applyFont="1" applyBorder="1" applyAlignment="1">
      <alignment horizontal="center" vertical="center" wrapText="1"/>
    </xf>
    <xf numFmtId="0" fontId="28" fillId="0" borderId="1" xfId="0" applyFont="1" applyBorder="1" applyAlignment="1">
      <alignment horizontal="left" vertical="center" wrapText="1"/>
    </xf>
    <xf numFmtId="0" fontId="28" fillId="0" borderId="2" xfId="0" applyFont="1" applyBorder="1" applyAlignment="1">
      <alignment horizontal="left" vertical="center" wrapText="1"/>
    </xf>
    <xf numFmtId="9" fontId="40" fillId="2" borderId="1" xfId="3" applyFont="1" applyFill="1" applyBorder="1" applyAlignment="1">
      <alignment horizontal="center" vertical="center"/>
    </xf>
    <xf numFmtId="9" fontId="40" fillId="2" borderId="4" xfId="3" applyFont="1" applyFill="1" applyBorder="1" applyAlignment="1">
      <alignment horizontal="center" vertical="center"/>
    </xf>
    <xf numFmtId="9" fontId="40" fillId="2" borderId="2" xfId="3" applyFont="1" applyFill="1" applyBorder="1" applyAlignment="1">
      <alignment horizontal="center" vertical="center"/>
    </xf>
    <xf numFmtId="9" fontId="32" fillId="0" borderId="1" xfId="3" applyFont="1" applyBorder="1" applyAlignment="1">
      <alignment horizontal="center" vertical="center" wrapText="1"/>
    </xf>
    <xf numFmtId="9" fontId="32" fillId="0" borderId="4" xfId="3" applyFont="1" applyBorder="1" applyAlignment="1">
      <alignment horizontal="center" vertical="center" wrapText="1"/>
    </xf>
    <xf numFmtId="9" fontId="32" fillId="0" borderId="2" xfId="3" applyFont="1" applyBorder="1" applyAlignment="1">
      <alignment horizontal="center" vertical="center" wrapText="1"/>
    </xf>
    <xf numFmtId="1" fontId="32" fillId="0" borderId="1" xfId="0" applyNumberFormat="1" applyFont="1" applyBorder="1" applyAlignment="1">
      <alignment horizontal="center" vertical="center" wrapText="1"/>
    </xf>
    <xf numFmtId="1" fontId="32" fillId="0" borderId="2" xfId="0" applyNumberFormat="1" applyFont="1" applyBorder="1" applyAlignment="1">
      <alignment horizontal="center" vertical="center" wrapText="1"/>
    </xf>
    <xf numFmtId="9" fontId="7" fillId="2" borderId="25" xfId="3" applyFont="1" applyFill="1" applyBorder="1" applyAlignment="1">
      <alignment horizontal="left" vertical="center" wrapText="1"/>
    </xf>
    <xf numFmtId="9" fontId="7" fillId="2" borderId="10" xfId="3" applyFont="1" applyFill="1" applyBorder="1" applyAlignment="1">
      <alignment horizontal="left" vertical="center" wrapText="1"/>
    </xf>
    <xf numFmtId="0" fontId="48" fillId="6" borderId="25" xfId="0" applyFont="1" applyFill="1" applyBorder="1" applyAlignment="1">
      <alignment horizontal="center" vertical="center"/>
    </xf>
    <xf numFmtId="0" fontId="48" fillId="6" borderId="8" xfId="0" applyFont="1" applyFill="1" applyBorder="1" applyAlignment="1">
      <alignment horizontal="center" vertical="center"/>
    </xf>
    <xf numFmtId="0" fontId="7" fillId="6" borderId="8" xfId="0" applyFont="1" applyFill="1" applyBorder="1" applyAlignment="1">
      <alignment horizontal="center" vertical="center"/>
    </xf>
    <xf numFmtId="3" fontId="28" fillId="0" borderId="3" xfId="0" applyNumberFormat="1" applyFont="1" applyBorder="1" applyAlignment="1">
      <alignment horizontal="left" vertical="center" wrapText="1"/>
    </xf>
    <xf numFmtId="3" fontId="28" fillId="0" borderId="11" xfId="0" applyNumberFormat="1" applyFont="1" applyBorder="1" applyAlignment="1">
      <alignment horizontal="left" vertical="center" wrapText="1"/>
    </xf>
    <xf numFmtId="166" fontId="40" fillId="2" borderId="1" xfId="3" applyNumberFormat="1" applyFont="1" applyFill="1" applyBorder="1" applyAlignment="1">
      <alignment horizontal="center" vertical="center"/>
    </xf>
    <xf numFmtId="166" fontId="40" fillId="2" borderId="4" xfId="3" applyNumberFormat="1" applyFont="1" applyFill="1" applyBorder="1" applyAlignment="1">
      <alignment horizontal="center" vertical="center"/>
    </xf>
    <xf numFmtId="166" fontId="40" fillId="2" borderId="2" xfId="3" applyNumberFormat="1" applyFont="1" applyFill="1" applyBorder="1" applyAlignment="1">
      <alignment horizontal="center" vertical="center"/>
    </xf>
    <xf numFmtId="164" fontId="32" fillId="4" borderId="1" xfId="0" applyNumberFormat="1" applyFont="1" applyFill="1" applyBorder="1" applyAlignment="1">
      <alignment horizontal="center" vertical="center"/>
    </xf>
    <xf numFmtId="164" fontId="32" fillId="4" borderId="4" xfId="0" applyNumberFormat="1" applyFont="1" applyFill="1" applyBorder="1" applyAlignment="1">
      <alignment horizontal="center" vertical="center"/>
    </xf>
    <xf numFmtId="164" fontId="32" fillId="4" borderId="2" xfId="0" applyNumberFormat="1" applyFont="1" applyFill="1" applyBorder="1" applyAlignment="1">
      <alignment horizontal="center" vertical="center"/>
    </xf>
    <xf numFmtId="166" fontId="40" fillId="0" borderId="1" xfId="3" applyNumberFormat="1" applyFont="1" applyFill="1" applyBorder="1" applyAlignment="1">
      <alignment horizontal="center" vertical="center"/>
    </xf>
    <xf numFmtId="166" fontId="40" fillId="0" borderId="4" xfId="3" applyNumberFormat="1" applyFont="1" applyFill="1" applyBorder="1" applyAlignment="1">
      <alignment horizontal="center" vertical="center"/>
    </xf>
    <xf numFmtId="166" fontId="40" fillId="0" borderId="2" xfId="3" applyNumberFormat="1" applyFont="1" applyFill="1" applyBorder="1" applyAlignment="1">
      <alignment horizontal="center" vertical="center"/>
    </xf>
    <xf numFmtId="4" fontId="40" fillId="2" borderId="3" xfId="3" applyNumberFormat="1" applyFont="1" applyFill="1" applyBorder="1" applyAlignment="1">
      <alignment horizontal="center" vertical="center"/>
    </xf>
    <xf numFmtId="9" fontId="40" fillId="0" borderId="3" xfId="3" applyFont="1" applyFill="1" applyBorder="1" applyAlignment="1">
      <alignment horizontal="center" vertical="center"/>
    </xf>
    <xf numFmtId="0" fontId="28" fillId="2" borderId="3" xfId="0" applyFont="1" applyFill="1" applyBorder="1" applyAlignment="1">
      <alignment horizontal="left" vertical="center" wrapText="1"/>
    </xf>
    <xf numFmtId="0" fontId="28" fillId="2" borderId="11" xfId="0" applyFont="1" applyFill="1" applyBorder="1" applyAlignment="1">
      <alignment horizontal="left" vertical="center" wrapText="1"/>
    </xf>
    <xf numFmtId="3" fontId="28" fillId="0" borderId="11" xfId="0" applyNumberFormat="1" applyFont="1" applyBorder="1" applyAlignment="1">
      <alignment horizontal="center" vertical="center" wrapText="1"/>
    </xf>
    <xf numFmtId="9" fontId="32" fillId="2" borderId="11" xfId="0" applyNumberFormat="1" applyFont="1" applyFill="1" applyBorder="1" applyAlignment="1">
      <alignment horizontal="center" vertical="center" wrapText="1"/>
    </xf>
    <xf numFmtId="167" fontId="40" fillId="0" borderId="3" xfId="3" applyNumberFormat="1" applyFont="1" applyFill="1" applyBorder="1" applyAlignment="1">
      <alignment horizontal="center" vertical="center"/>
    </xf>
    <xf numFmtId="167" fontId="40" fillId="0" borderId="11" xfId="3" applyNumberFormat="1" applyFont="1" applyFill="1" applyBorder="1" applyAlignment="1">
      <alignment horizontal="center" vertical="center"/>
    </xf>
    <xf numFmtId="1" fontId="21" fillId="5" borderId="9" xfId="0" applyNumberFormat="1" applyFont="1" applyFill="1" applyBorder="1" applyAlignment="1">
      <alignment horizontal="center" vertical="center" wrapText="1"/>
    </xf>
    <xf numFmtId="166" fontId="0" fillId="0" borderId="0" xfId="0" applyNumberFormat="1"/>
    <xf numFmtId="166" fontId="0" fillId="0" borderId="0" xfId="0" applyNumberFormat="1" applyFill="1"/>
  </cellXfs>
  <cellStyles count="6">
    <cellStyle name="Hyperlink" xfId="2" xr:uid="{229B5BD0-CC60-4F36-9475-8350B902C8B9}"/>
    <cellStyle name="Відсотковий" xfId="3" builtinId="5"/>
    <cellStyle name="Гіперпосилання" xfId="5" builtinId="8"/>
    <cellStyle name="Звичайний" xfId="0" builtinId="0"/>
    <cellStyle name="Звичайний 2" xfId="1" xr:uid="{2C81BDA2-A7B6-4BE6-AE7F-EBE7B73F7527}"/>
    <cellStyle name="Обычный 2" xfId="4" xr:uid="{F3FDE748-C428-4763-B1A1-E273BF767BEA}"/>
  </cellStyles>
  <dxfs count="53">
    <dxf>
      <fill>
        <patternFill>
          <bgColor theme="0"/>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rgb="FFFF7C80"/>
        </patternFill>
      </fill>
    </dxf>
    <dxf>
      <fill>
        <patternFill>
          <bgColor theme="6" tint="0.39994506668294322"/>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tech!$C$50</c:f>
              <c:strCache>
                <c:ptCount val="1"/>
                <c:pt idx="0">
                  <c:v>індив.оцінка</c:v>
                </c:pt>
              </c:strCache>
            </c:strRef>
          </c:tx>
          <c:spPr>
            <a:pattFill prst="wdUpDiag">
              <a:fgClr>
                <a:srgbClr val="C00000"/>
              </a:fgClr>
              <a:bgClr>
                <a:schemeClr val="bg1"/>
              </a:bgClr>
            </a:pattFill>
            <a:ln>
              <a:noFill/>
            </a:ln>
            <a:effectLst/>
          </c:spPr>
          <c:invertIfNegative val="0"/>
          <c:dLbls>
            <c:spPr>
              <a:noFill/>
              <a:ln>
                <a:noFill/>
              </a:ln>
              <a:effectLst/>
            </c:spPr>
            <c:txPr>
              <a:bodyPr rot="0" spcFirstLastPara="1" vertOverflow="ellipsis" vert="horz" wrap="square" anchor="ctr" anchorCtr="1"/>
              <a:lstStyle/>
              <a:p>
                <a:pPr>
                  <a:defRPr sz="3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tech!$B$51:$B$56</c:f>
              <c:strCache>
                <c:ptCount val="6"/>
                <c:pt idx="0">
                  <c:v>Пацієнти</c:v>
                </c:pt>
                <c:pt idx="1">
                  <c:v>Оплата праці</c:v>
                </c:pt>
                <c:pt idx="2">
                  <c:v>Персонал</c:v>
                </c:pt>
                <c:pt idx="3">
                  <c:v>Результативність</c:v>
                </c:pt>
                <c:pt idx="4">
                  <c:v>Витрати</c:v>
                </c:pt>
                <c:pt idx="5">
                  <c:v>Доходи</c:v>
                </c:pt>
              </c:strCache>
            </c:strRef>
          </c:cat>
          <c:val>
            <c:numRef>
              <c:f>tech!$C$51:$C$56</c:f>
              <c:numCache>
                <c:formatCode>0%</c:formatCode>
                <c:ptCount val="6"/>
                <c:pt idx="0">
                  <c:v>0</c:v>
                </c:pt>
                <c:pt idx="1">
                  <c:v>0</c:v>
                </c:pt>
                <c:pt idx="2">
                  <c:v>0</c:v>
                </c:pt>
                <c:pt idx="3" formatCode="0.0%">
                  <c:v>0</c:v>
                </c:pt>
                <c:pt idx="4" formatCode="0.0%">
                  <c:v>0</c:v>
                </c:pt>
                <c:pt idx="5">
                  <c:v>0</c:v>
                </c:pt>
              </c:numCache>
            </c:numRef>
          </c:val>
          <c:extLst>
            <c:ext xmlns:c16="http://schemas.microsoft.com/office/drawing/2014/chart" uri="{C3380CC4-5D6E-409C-BE32-E72D297353CC}">
              <c16:uniqueId val="{00000000-4260-448A-A6A6-8FA1E84AB306}"/>
            </c:ext>
          </c:extLst>
        </c:ser>
        <c:ser>
          <c:idx val="1"/>
          <c:order val="1"/>
          <c:tx>
            <c:strRef>
              <c:f>tech!$D$50</c:f>
              <c:strCache>
                <c:ptCount val="1"/>
                <c:pt idx="0">
                  <c:v>max оцінка</c:v>
                </c:pt>
              </c:strCache>
            </c:strRef>
          </c:tx>
          <c:spPr>
            <a:solidFill>
              <a:srgbClr val="002060"/>
            </a:solidFill>
            <a:ln>
              <a:noFill/>
            </a:ln>
            <a:effectLst/>
          </c:spPr>
          <c:invertIfNegative val="0"/>
          <c:dPt>
            <c:idx val="1"/>
            <c:invertIfNegative val="0"/>
            <c:bubble3D val="0"/>
            <c:spPr>
              <a:solidFill>
                <a:srgbClr val="002060"/>
              </a:solidFill>
              <a:ln>
                <a:solidFill>
                  <a:schemeClr val="accent1"/>
                </a:solidFill>
              </a:ln>
              <a:effectLst/>
            </c:spPr>
            <c:extLst>
              <c:ext xmlns:c16="http://schemas.microsoft.com/office/drawing/2014/chart" uri="{C3380CC4-5D6E-409C-BE32-E72D297353CC}">
                <c16:uniqueId val="{00000002-4260-448A-A6A6-8FA1E84AB306}"/>
              </c:ext>
            </c:extLst>
          </c:dPt>
          <c:dLbls>
            <c:spPr>
              <a:noFill/>
              <a:ln>
                <a:noFill/>
              </a:ln>
              <a:effectLst/>
            </c:spPr>
            <c:txPr>
              <a:bodyPr rot="0" spcFirstLastPara="1" vertOverflow="ellipsis" vert="horz" wrap="square" anchor="ctr" anchorCtr="1"/>
              <a:lstStyle/>
              <a:p>
                <a:pPr>
                  <a:defRPr sz="3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tech!$B$51:$B$56</c:f>
              <c:strCache>
                <c:ptCount val="6"/>
                <c:pt idx="0">
                  <c:v>Пацієнти</c:v>
                </c:pt>
                <c:pt idx="1">
                  <c:v>Оплата праці</c:v>
                </c:pt>
                <c:pt idx="2">
                  <c:v>Персонал</c:v>
                </c:pt>
                <c:pt idx="3">
                  <c:v>Результативність</c:v>
                </c:pt>
                <c:pt idx="4">
                  <c:v>Витрати</c:v>
                </c:pt>
                <c:pt idx="5">
                  <c:v>Доходи</c:v>
                </c:pt>
              </c:strCache>
            </c:strRef>
          </c:cat>
          <c:val>
            <c:numRef>
              <c:f>tech!$D$51:$D$56</c:f>
              <c:numCache>
                <c:formatCode>0%</c:formatCode>
                <c:ptCount val="6"/>
                <c:pt idx="0">
                  <c:v>0.2</c:v>
                </c:pt>
                <c:pt idx="1">
                  <c:v>0.2</c:v>
                </c:pt>
                <c:pt idx="2">
                  <c:v>0.2</c:v>
                </c:pt>
                <c:pt idx="3">
                  <c:v>0.1</c:v>
                </c:pt>
                <c:pt idx="4">
                  <c:v>0.1</c:v>
                </c:pt>
                <c:pt idx="5">
                  <c:v>0.2</c:v>
                </c:pt>
              </c:numCache>
            </c:numRef>
          </c:val>
          <c:extLst>
            <c:ext xmlns:c16="http://schemas.microsoft.com/office/drawing/2014/chart" uri="{C3380CC4-5D6E-409C-BE32-E72D297353CC}">
              <c16:uniqueId val="{00000003-4260-448A-A6A6-8FA1E84AB306}"/>
            </c:ext>
          </c:extLst>
        </c:ser>
        <c:dLbls>
          <c:showLegendKey val="0"/>
          <c:showVal val="0"/>
          <c:showCatName val="0"/>
          <c:showSerName val="0"/>
          <c:showPercent val="0"/>
          <c:showBubbleSize val="0"/>
        </c:dLbls>
        <c:gapWidth val="71"/>
        <c:axId val="573443640"/>
        <c:axId val="573446160"/>
      </c:barChart>
      <c:catAx>
        <c:axId val="5734436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3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uk-UA"/>
          </a:p>
        </c:txPr>
        <c:crossAx val="573446160"/>
        <c:crosses val="autoZero"/>
        <c:auto val="1"/>
        <c:lblAlgn val="ctr"/>
        <c:lblOffset val="100"/>
        <c:noMultiLvlLbl val="0"/>
      </c:catAx>
      <c:valAx>
        <c:axId val="573446160"/>
        <c:scaling>
          <c:orientation val="minMax"/>
        </c:scaling>
        <c:delete val="1"/>
        <c:axPos val="b"/>
        <c:numFmt formatCode="0%" sourceLinked="1"/>
        <c:majorTickMark val="none"/>
        <c:minorTickMark val="none"/>
        <c:tickLblPos val="nextTo"/>
        <c:crossAx val="573443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3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uk-U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3200">
          <a:solidFill>
            <a:sysClr val="windowText" lastClr="000000"/>
          </a:solidFill>
          <a:latin typeface="Times New Roman" panose="02020603050405020304" pitchFamily="18" charset="0"/>
          <a:cs typeface="Times New Roman" panose="02020603050405020304" pitchFamily="18" charset="0"/>
        </a:defRPr>
      </a:pPr>
      <a:endParaRPr lang="uk-UA"/>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tech!$C$61</c:f>
              <c:strCache>
                <c:ptCount val="1"/>
                <c:pt idx="0">
                  <c:v>індив.оцінка</c:v>
                </c:pt>
              </c:strCache>
            </c:strRef>
          </c:tx>
          <c:spPr>
            <a:pattFill prst="wdUpDiag">
              <a:fgClr>
                <a:srgbClr val="C00000"/>
              </a:fgClr>
              <a:bgClr>
                <a:schemeClr val="bg1"/>
              </a:bgClr>
            </a:pattFill>
            <a:ln>
              <a:noFill/>
            </a:ln>
            <a:effectLst/>
          </c:spPr>
          <c:invertIfNegative val="0"/>
          <c:dLbls>
            <c:spPr>
              <a:noFill/>
              <a:ln>
                <a:noFill/>
              </a:ln>
              <a:effectLst/>
            </c:spPr>
            <c:txPr>
              <a:bodyPr rot="0" spcFirstLastPara="1" vertOverflow="ellipsis" vert="horz" wrap="square" anchor="ctr" anchorCtr="1"/>
              <a:lstStyle/>
              <a:p>
                <a:pPr>
                  <a:defRPr sz="3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tech!$B$62:$B$67</c:f>
              <c:strCache>
                <c:ptCount val="6"/>
                <c:pt idx="0">
                  <c:v>Пацієнти</c:v>
                </c:pt>
                <c:pt idx="1">
                  <c:v>Оплата праці</c:v>
                </c:pt>
                <c:pt idx="2">
                  <c:v>Персонал</c:v>
                </c:pt>
                <c:pt idx="3">
                  <c:v>Результативність</c:v>
                </c:pt>
                <c:pt idx="4">
                  <c:v>Витрати</c:v>
                </c:pt>
                <c:pt idx="5">
                  <c:v>Доходи</c:v>
                </c:pt>
              </c:strCache>
            </c:strRef>
          </c:cat>
          <c:val>
            <c:numRef>
              <c:f>tech!$C$62:$C$67</c:f>
              <c:numCache>
                <c:formatCode>0.0%</c:formatCode>
                <c:ptCount val="6"/>
                <c:pt idx="0" formatCode="0%">
                  <c:v>0</c:v>
                </c:pt>
                <c:pt idx="1">
                  <c:v>0</c:v>
                </c:pt>
                <c:pt idx="2" formatCode="0%">
                  <c:v>0</c:v>
                </c:pt>
                <c:pt idx="3">
                  <c:v>0</c:v>
                </c:pt>
                <c:pt idx="4">
                  <c:v>0</c:v>
                </c:pt>
                <c:pt idx="5" formatCode="0%">
                  <c:v>0</c:v>
                </c:pt>
              </c:numCache>
            </c:numRef>
          </c:val>
          <c:extLst>
            <c:ext xmlns:c16="http://schemas.microsoft.com/office/drawing/2014/chart" uri="{C3380CC4-5D6E-409C-BE32-E72D297353CC}">
              <c16:uniqueId val="{00000000-C995-4B29-A72B-DC697245DBFE}"/>
            </c:ext>
          </c:extLst>
        </c:ser>
        <c:ser>
          <c:idx val="1"/>
          <c:order val="1"/>
          <c:tx>
            <c:strRef>
              <c:f>tech!$D$61</c:f>
              <c:strCache>
                <c:ptCount val="1"/>
                <c:pt idx="0">
                  <c:v>max оцінка</c:v>
                </c:pt>
              </c:strCache>
            </c:strRef>
          </c:tx>
          <c:spPr>
            <a:solidFill>
              <a:srgbClr val="002060"/>
            </a:solidFill>
            <a:ln>
              <a:noFill/>
            </a:ln>
            <a:effectLst/>
          </c:spPr>
          <c:invertIfNegative val="0"/>
          <c:dLbls>
            <c:spPr>
              <a:noFill/>
              <a:ln>
                <a:noFill/>
              </a:ln>
              <a:effectLst/>
            </c:spPr>
            <c:txPr>
              <a:bodyPr rot="0" spcFirstLastPara="1" vertOverflow="ellipsis" vert="horz" wrap="square" anchor="ctr" anchorCtr="1"/>
              <a:lstStyle/>
              <a:p>
                <a:pPr>
                  <a:defRPr sz="3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tech!$B$62:$B$67</c:f>
              <c:strCache>
                <c:ptCount val="6"/>
                <c:pt idx="0">
                  <c:v>Пацієнти</c:v>
                </c:pt>
                <c:pt idx="1">
                  <c:v>Оплата праці</c:v>
                </c:pt>
                <c:pt idx="2">
                  <c:v>Персонал</c:v>
                </c:pt>
                <c:pt idx="3">
                  <c:v>Результативність</c:v>
                </c:pt>
                <c:pt idx="4">
                  <c:v>Витрати</c:v>
                </c:pt>
                <c:pt idx="5">
                  <c:v>Доходи</c:v>
                </c:pt>
              </c:strCache>
            </c:strRef>
          </c:cat>
          <c:val>
            <c:numRef>
              <c:f>tech!$D$62:$D$67</c:f>
              <c:numCache>
                <c:formatCode>0%</c:formatCode>
                <c:ptCount val="6"/>
                <c:pt idx="0">
                  <c:v>0.2</c:v>
                </c:pt>
                <c:pt idx="1">
                  <c:v>0.2</c:v>
                </c:pt>
                <c:pt idx="2">
                  <c:v>0.2</c:v>
                </c:pt>
                <c:pt idx="3">
                  <c:v>0.1</c:v>
                </c:pt>
                <c:pt idx="4">
                  <c:v>0.1</c:v>
                </c:pt>
                <c:pt idx="5">
                  <c:v>0.2</c:v>
                </c:pt>
              </c:numCache>
            </c:numRef>
          </c:val>
          <c:extLst>
            <c:ext xmlns:c16="http://schemas.microsoft.com/office/drawing/2014/chart" uri="{C3380CC4-5D6E-409C-BE32-E72D297353CC}">
              <c16:uniqueId val="{00000001-C995-4B29-A72B-DC697245DBFE}"/>
            </c:ext>
          </c:extLst>
        </c:ser>
        <c:dLbls>
          <c:showLegendKey val="0"/>
          <c:showVal val="0"/>
          <c:showCatName val="0"/>
          <c:showSerName val="0"/>
          <c:showPercent val="0"/>
          <c:showBubbleSize val="0"/>
        </c:dLbls>
        <c:gapWidth val="102"/>
        <c:axId val="732249800"/>
        <c:axId val="732254840"/>
      </c:barChart>
      <c:catAx>
        <c:axId val="7322498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3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uk-UA"/>
          </a:p>
        </c:txPr>
        <c:crossAx val="732254840"/>
        <c:crosses val="autoZero"/>
        <c:auto val="1"/>
        <c:lblAlgn val="ctr"/>
        <c:lblOffset val="100"/>
        <c:noMultiLvlLbl val="0"/>
      </c:catAx>
      <c:valAx>
        <c:axId val="732254840"/>
        <c:scaling>
          <c:orientation val="minMax"/>
        </c:scaling>
        <c:delete val="1"/>
        <c:axPos val="b"/>
        <c:numFmt formatCode="0%" sourceLinked="1"/>
        <c:majorTickMark val="none"/>
        <c:minorTickMark val="none"/>
        <c:tickLblPos val="nextTo"/>
        <c:crossAx val="732249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3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uk-U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3200">
          <a:solidFill>
            <a:sysClr val="windowText" lastClr="000000"/>
          </a:solidFill>
          <a:latin typeface="Times New Roman" panose="02020603050405020304" pitchFamily="18" charset="0"/>
          <a:cs typeface="Times New Roman" panose="02020603050405020304" pitchFamily="18" charset="0"/>
        </a:defRPr>
      </a:pPr>
      <a:endParaRPr lang="uk-UA"/>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103910</xdr:colOff>
      <xdr:row>0</xdr:row>
      <xdr:rowOff>77932</xdr:rowOff>
    </xdr:from>
    <xdr:to>
      <xdr:col>3</xdr:col>
      <xdr:colOff>36286</xdr:colOff>
      <xdr:row>1</xdr:row>
      <xdr:rowOff>179644</xdr:rowOff>
    </xdr:to>
    <xdr:pic>
      <xdr:nvPicPr>
        <xdr:cNvPr id="2" name="Рисунок 1">
          <a:extLst>
            <a:ext uri="{FF2B5EF4-FFF2-40B4-BE49-F238E27FC236}">
              <a16:creationId xmlns:a16="http://schemas.microsoft.com/office/drawing/2014/main" id="{D033E9B9-3A26-4712-9126-B3D23050F6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61" b="261"/>
        <a:stretch/>
      </xdr:blipFill>
      <xdr:spPr>
        <a:xfrm>
          <a:off x="103910" y="77932"/>
          <a:ext cx="1818326" cy="16447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xdr:colOff>
      <xdr:row>3</xdr:row>
      <xdr:rowOff>476248</xdr:rowOff>
    </xdr:from>
    <xdr:to>
      <xdr:col>19</xdr:col>
      <xdr:colOff>1071562</xdr:colOff>
      <xdr:row>10</xdr:row>
      <xdr:rowOff>238124</xdr:rowOff>
    </xdr:to>
    <xdr:graphicFrame macro="">
      <xdr:nvGraphicFramePr>
        <xdr:cNvPr id="3" name="Діаграма 2">
          <a:extLst>
            <a:ext uri="{FF2B5EF4-FFF2-40B4-BE49-F238E27FC236}">
              <a16:creationId xmlns:a16="http://schemas.microsoft.com/office/drawing/2014/main" id="{3C4FFF34-EB84-40D3-ADB2-5E9327C346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502227</xdr:colOff>
      <xdr:row>3</xdr:row>
      <xdr:rowOff>155864</xdr:rowOff>
    </xdr:from>
    <xdr:to>
      <xdr:col>14</xdr:col>
      <xdr:colOff>242454</xdr:colOff>
      <xdr:row>10</xdr:row>
      <xdr:rowOff>247650</xdr:rowOff>
    </xdr:to>
    <xdr:graphicFrame macro="">
      <xdr:nvGraphicFramePr>
        <xdr:cNvPr id="2" name="Діаграма 1">
          <a:extLst>
            <a:ext uri="{FF2B5EF4-FFF2-40B4-BE49-F238E27FC236}">
              <a16:creationId xmlns:a16="http://schemas.microsoft.com/office/drawing/2014/main" id="{9F87FFB8-A9CA-4627-89B6-1917B31F91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kovalenko\OneDrive%20-%20USAID%20Health%20Reform%20Support\Kovalenko_N\03.%20E-tools\05.%20Pay&amp;Care\04.%20Pay&amp;Care%205.0\E_tool_Pay_Care_5_0%20(Sept2024).xlsx" TargetMode="External"/><Relationship Id="rId1" Type="http://schemas.openxmlformats.org/officeDocument/2006/relationships/externalLinkPath" Target="file:///C:\Users\nkovalenko\OneDrive%20-%20USAID%20Health%20Reform%20Support\Kovalenko_N\03.%20E-tools\05.%20Pay&amp;Care\04.%20Pay&amp;Care%205.0\E_tool_Pay_Care_5_0%20(Sept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itle"/>
      <sheetName val="Загальне"/>
      <sheetName val="Перелік_послуг"/>
      <sheetName val="Вхідні_дані"/>
      <sheetName val="РОЗРАХУНОК"/>
      <sheetName val="ПІДСУМОК"/>
    </sheetNames>
    <sheetDataSet>
      <sheetData sheetId="0" refreshError="1"/>
      <sheetData sheetId="1" refreshError="1"/>
      <sheetData sheetId="2" refreshError="1"/>
      <sheetData sheetId="3">
        <row r="2">
          <cell r="H2">
            <v>0.22</v>
          </cell>
        </row>
        <row r="3">
          <cell r="H3">
            <v>8.4099999999999994E-2</v>
          </cell>
        </row>
      </sheetData>
      <sheetData sheetId="4" refreshError="1"/>
      <sheetData sheetId="5"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edata.e-health.gov.ua/e-data/dashboard/1-hc"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E32D8-A4C7-4432-9ABB-746F1D8C5728}">
  <sheetPr>
    <tabColor theme="4" tint="0.79998168889431442"/>
  </sheetPr>
  <dimension ref="A1:V30"/>
  <sheetViews>
    <sheetView showGridLines="0" tabSelected="1" zoomScaleNormal="100" workbookViewId="0">
      <selection activeCell="C23" sqref="C23"/>
    </sheetView>
  </sheetViews>
  <sheetFormatPr defaultColWidth="8.85546875" defaultRowHeight="15" x14ac:dyDescent="0.25"/>
  <cols>
    <col min="1" max="1" width="8.85546875" style="5"/>
    <col min="2" max="2" width="10.5703125" style="5" customWidth="1"/>
    <col min="3" max="5" width="8.85546875" style="5"/>
    <col min="6" max="6" width="11" style="5" customWidth="1"/>
    <col min="7" max="21" width="8.85546875" style="5"/>
    <col min="22" max="22" width="11.7109375" style="5" customWidth="1"/>
    <col min="23" max="16384" width="8.85546875" style="5"/>
  </cols>
  <sheetData>
    <row r="1" spans="1:22" ht="121.9" customHeight="1" x14ac:dyDescent="0.25">
      <c r="L1" s="6"/>
      <c r="M1" s="6"/>
      <c r="N1" s="6"/>
      <c r="O1" s="6"/>
      <c r="P1" s="6"/>
    </row>
    <row r="2" spans="1:22" ht="14.45" customHeight="1" x14ac:dyDescent="0.25">
      <c r="A2" s="183" t="s">
        <v>257</v>
      </c>
      <c r="B2" s="183"/>
      <c r="C2" s="183"/>
      <c r="D2" s="183"/>
      <c r="E2" s="183"/>
      <c r="F2" s="183"/>
      <c r="G2" s="183"/>
      <c r="H2" s="183"/>
      <c r="I2" s="183"/>
      <c r="J2" s="183"/>
      <c r="K2" s="183"/>
      <c r="L2" s="183"/>
      <c r="M2" s="183"/>
      <c r="N2" s="183"/>
      <c r="O2" s="8"/>
    </row>
    <row r="3" spans="1:22" ht="14.45" customHeight="1" x14ac:dyDescent="0.25">
      <c r="A3" s="183"/>
      <c r="B3" s="183"/>
      <c r="C3" s="183"/>
      <c r="D3" s="183"/>
      <c r="E3" s="183"/>
      <c r="F3" s="183"/>
      <c r="G3" s="183"/>
      <c r="H3" s="183"/>
      <c r="I3" s="183"/>
      <c r="J3" s="183"/>
      <c r="K3" s="183"/>
      <c r="L3" s="183"/>
      <c r="M3" s="183"/>
      <c r="N3" s="183"/>
      <c r="O3" s="8"/>
    </row>
    <row r="4" spans="1:22" ht="14.45" customHeight="1" x14ac:dyDescent="0.25">
      <c r="A4" s="183"/>
      <c r="B4" s="183"/>
      <c r="C4" s="183"/>
      <c r="D4" s="183"/>
      <c r="E4" s="183"/>
      <c r="F4" s="183"/>
      <c r="G4" s="183"/>
      <c r="H4" s="183"/>
      <c r="I4" s="183"/>
      <c r="J4" s="183"/>
      <c r="K4" s="183"/>
      <c r="L4" s="183"/>
      <c r="M4" s="183"/>
      <c r="N4" s="183"/>
    </row>
    <row r="5" spans="1:22" ht="14.45" customHeight="1" x14ac:dyDescent="0.25">
      <c r="A5" s="183"/>
      <c r="B5" s="183"/>
      <c r="C5" s="183"/>
      <c r="D5" s="183"/>
      <c r="E5" s="183"/>
      <c r="F5" s="183"/>
      <c r="G5" s="183"/>
      <c r="H5" s="183"/>
      <c r="I5" s="183"/>
      <c r="J5" s="183"/>
      <c r="K5" s="183"/>
      <c r="L5" s="183"/>
      <c r="M5" s="183"/>
      <c r="N5" s="183"/>
      <c r="O5" s="8"/>
    </row>
    <row r="6" spans="1:22" ht="14.45" customHeight="1" x14ac:dyDescent="0.25">
      <c r="A6" s="183"/>
      <c r="B6" s="183"/>
      <c r="C6" s="183"/>
      <c r="D6" s="183"/>
      <c r="E6" s="183"/>
      <c r="F6" s="183"/>
      <c r="G6" s="183"/>
      <c r="H6" s="183"/>
      <c r="I6" s="183"/>
      <c r="J6" s="183"/>
      <c r="K6" s="183"/>
      <c r="L6" s="183"/>
      <c r="M6" s="183"/>
      <c r="N6" s="183"/>
      <c r="O6" s="8"/>
      <c r="P6" s="9"/>
      <c r="Q6" s="9"/>
      <c r="R6" s="9"/>
      <c r="S6" s="9"/>
      <c r="T6" s="9"/>
      <c r="U6" s="9"/>
      <c r="V6" s="9"/>
    </row>
    <row r="7" spans="1:22" ht="14.45" customHeight="1" thickBot="1" x14ac:dyDescent="0.3">
      <c r="A7" s="183"/>
      <c r="B7" s="183"/>
      <c r="C7" s="183"/>
      <c r="D7" s="183"/>
      <c r="E7" s="183"/>
      <c r="F7" s="183"/>
      <c r="G7" s="183"/>
      <c r="H7" s="183"/>
      <c r="I7" s="183"/>
      <c r="J7" s="183"/>
      <c r="K7" s="183"/>
      <c r="L7" s="183"/>
      <c r="M7" s="183"/>
      <c r="N7" s="183"/>
      <c r="O7" s="8"/>
      <c r="P7" s="9"/>
      <c r="Q7" s="9"/>
      <c r="R7" s="9"/>
      <c r="S7" s="9"/>
      <c r="T7" s="9"/>
      <c r="U7" s="9"/>
      <c r="V7" s="9"/>
    </row>
    <row r="8" spans="1:22" ht="21.6" customHeight="1" x14ac:dyDescent="0.25">
      <c r="A8" s="183"/>
      <c r="B8" s="183"/>
      <c r="C8" s="183"/>
      <c r="D8" s="183"/>
      <c r="E8" s="183"/>
      <c r="F8" s="183"/>
      <c r="G8" s="183"/>
      <c r="H8" s="183"/>
      <c r="I8" s="183"/>
      <c r="J8" s="183"/>
      <c r="K8" s="183"/>
      <c r="L8" s="183"/>
      <c r="M8" s="183"/>
      <c r="N8" s="183"/>
      <c r="O8" s="8"/>
      <c r="P8" s="9"/>
      <c r="Q8" s="184" t="s">
        <v>10</v>
      </c>
      <c r="R8" s="185"/>
      <c r="S8" s="185"/>
      <c r="T8" s="185"/>
      <c r="U8" s="185"/>
      <c r="V8" s="186"/>
    </row>
    <row r="9" spans="1:22" ht="21.6" customHeight="1" x14ac:dyDescent="0.25">
      <c r="A9" s="183"/>
      <c r="B9" s="183"/>
      <c r="C9" s="183"/>
      <c r="D9" s="183"/>
      <c r="E9" s="183"/>
      <c r="F9" s="183"/>
      <c r="G9" s="183"/>
      <c r="H9" s="183"/>
      <c r="I9" s="183"/>
      <c r="J9" s="183"/>
      <c r="K9" s="183"/>
      <c r="L9" s="183"/>
      <c r="M9" s="183"/>
      <c r="N9" s="183"/>
      <c r="P9" s="9"/>
      <c r="Q9" s="187" t="s">
        <v>11</v>
      </c>
      <c r="R9" s="188"/>
      <c r="S9" s="188"/>
      <c r="T9" s="188"/>
      <c r="U9" s="188"/>
      <c r="V9" s="189"/>
    </row>
    <row r="10" spans="1:22" ht="21.6" customHeight="1" x14ac:dyDescent="0.25">
      <c r="A10" s="183"/>
      <c r="B10" s="183"/>
      <c r="C10" s="183"/>
      <c r="D10" s="183"/>
      <c r="E10" s="183"/>
      <c r="F10" s="183"/>
      <c r="G10" s="183"/>
      <c r="H10" s="183"/>
      <c r="I10" s="183"/>
      <c r="J10" s="183"/>
      <c r="K10" s="183"/>
      <c r="L10" s="183"/>
      <c r="M10" s="183"/>
      <c r="N10" s="183"/>
      <c r="P10" s="9"/>
      <c r="Q10" s="190" t="s">
        <v>12</v>
      </c>
      <c r="R10" s="191"/>
      <c r="S10" s="191"/>
      <c r="T10" s="191"/>
      <c r="U10" s="191"/>
      <c r="V10" s="192"/>
    </row>
    <row r="11" spans="1:22" ht="21.6" customHeight="1" thickBot="1" x14ac:dyDescent="0.3">
      <c r="A11" s="183"/>
      <c r="B11" s="183"/>
      <c r="C11" s="183"/>
      <c r="D11" s="183"/>
      <c r="E11" s="183"/>
      <c r="F11" s="183"/>
      <c r="G11" s="183"/>
      <c r="H11" s="183"/>
      <c r="I11" s="183"/>
      <c r="J11" s="183"/>
      <c r="K11" s="183"/>
      <c r="L11" s="183"/>
      <c r="M11" s="183"/>
      <c r="N11" s="183"/>
      <c r="P11" s="9"/>
      <c r="Q11" s="193" t="s">
        <v>88</v>
      </c>
      <c r="R11" s="194"/>
      <c r="S11" s="194"/>
      <c r="T11" s="194"/>
      <c r="U11" s="194"/>
      <c r="V11" s="195"/>
    </row>
    <row r="12" spans="1:22" ht="33" customHeight="1" x14ac:dyDescent="0.25">
      <c r="A12" s="183"/>
      <c r="B12" s="183"/>
      <c r="C12" s="183"/>
      <c r="D12" s="183"/>
      <c r="E12" s="183"/>
      <c r="F12" s="183"/>
      <c r="G12" s="183"/>
      <c r="H12" s="183"/>
      <c r="I12" s="183"/>
      <c r="J12" s="183"/>
      <c r="K12" s="183"/>
      <c r="L12" s="183"/>
      <c r="M12" s="183"/>
      <c r="N12" s="183"/>
      <c r="P12" s="9"/>
      <c r="Q12" s="9"/>
      <c r="R12" s="9"/>
      <c r="S12" s="9"/>
      <c r="T12" s="9"/>
      <c r="U12" s="9"/>
      <c r="V12" s="9"/>
    </row>
    <row r="13" spans="1:22" ht="24" customHeight="1" x14ac:dyDescent="0.25">
      <c r="A13" s="183"/>
      <c r="B13" s="183"/>
      <c r="C13" s="183"/>
      <c r="D13" s="183"/>
      <c r="E13" s="183"/>
      <c r="F13" s="183"/>
      <c r="G13" s="183"/>
      <c r="H13" s="183"/>
      <c r="I13" s="183"/>
      <c r="J13" s="183"/>
      <c r="K13" s="183"/>
      <c r="L13" s="183"/>
      <c r="M13" s="183"/>
      <c r="N13" s="183"/>
      <c r="O13" s="8"/>
    </row>
    <row r="14" spans="1:22" ht="36" customHeight="1" x14ac:dyDescent="0.25">
      <c r="A14" s="183"/>
      <c r="B14" s="183"/>
      <c r="C14" s="183"/>
      <c r="D14" s="183"/>
      <c r="E14" s="183"/>
      <c r="F14" s="183"/>
      <c r="G14" s="183"/>
      <c r="H14" s="183"/>
      <c r="I14" s="183"/>
      <c r="J14" s="183"/>
      <c r="K14" s="183"/>
      <c r="L14" s="183"/>
      <c r="M14" s="183"/>
      <c r="N14" s="183"/>
      <c r="O14" s="8"/>
    </row>
    <row r="15" spans="1:22" ht="36" customHeight="1" x14ac:dyDescent="0.25">
      <c r="A15" s="7"/>
      <c r="B15" s="7"/>
      <c r="C15" s="7"/>
      <c r="D15" s="7"/>
      <c r="E15" s="7"/>
      <c r="F15" s="7"/>
      <c r="G15" s="7"/>
      <c r="H15" s="7"/>
      <c r="I15" s="7"/>
      <c r="J15" s="7"/>
      <c r="K15" s="7"/>
      <c r="L15" s="7"/>
      <c r="M15" s="7"/>
      <c r="N15" s="7"/>
      <c r="O15" s="8"/>
    </row>
    <row r="16" spans="1:22" ht="36" customHeight="1" x14ac:dyDescent="0.35">
      <c r="A16" s="7"/>
      <c r="C16" s="10" t="s">
        <v>13</v>
      </c>
      <c r="D16" s="7"/>
      <c r="E16" s="7"/>
      <c r="F16" s="7"/>
      <c r="G16" s="7"/>
      <c r="H16" s="7"/>
      <c r="I16" s="7"/>
      <c r="J16" s="7"/>
      <c r="K16" s="7"/>
      <c r="L16" s="7"/>
      <c r="M16" s="7"/>
      <c r="N16" s="7"/>
      <c r="O16" s="8"/>
    </row>
    <row r="17" spans="1:15" ht="87" customHeight="1" x14ac:dyDescent="0.25">
      <c r="A17" s="182" t="s">
        <v>14</v>
      </c>
      <c r="B17" s="182"/>
      <c r="C17" s="182"/>
      <c r="D17" s="182"/>
      <c r="E17" s="182"/>
      <c r="F17" s="182"/>
      <c r="G17" s="182"/>
      <c r="H17" s="182"/>
      <c r="I17" s="182"/>
      <c r="J17" s="182"/>
      <c r="K17" s="182"/>
      <c r="L17" s="182"/>
      <c r="M17" s="182"/>
      <c r="N17" s="182"/>
      <c r="O17" s="182"/>
    </row>
    <row r="20" spans="1:15" x14ac:dyDescent="0.25">
      <c r="F20" s="5" t="s">
        <v>15</v>
      </c>
    </row>
    <row r="22" spans="1:15" x14ac:dyDescent="0.25">
      <c r="B22" s="11"/>
    </row>
    <row r="23" spans="1:15" ht="17.45" customHeight="1" x14ac:dyDescent="0.25">
      <c r="B23" s="11"/>
    </row>
    <row r="24" spans="1:15" ht="17.45" customHeight="1" x14ac:dyDescent="0.25">
      <c r="B24" s="11"/>
    </row>
    <row r="25" spans="1:15" ht="17.45" customHeight="1" x14ac:dyDescent="0.25">
      <c r="B25" s="11"/>
    </row>
    <row r="26" spans="1:15" ht="17.45" customHeight="1" x14ac:dyDescent="0.25">
      <c r="B26" s="11"/>
    </row>
    <row r="27" spans="1:15" ht="17.45" customHeight="1" x14ac:dyDescent="0.25">
      <c r="B27" s="11"/>
    </row>
    <row r="28" spans="1:15" ht="17.45" customHeight="1" x14ac:dyDescent="0.25">
      <c r="B28" s="11"/>
    </row>
    <row r="29" spans="1:15" ht="17.45" customHeight="1" x14ac:dyDescent="0.25">
      <c r="B29" s="11"/>
    </row>
    <row r="30" spans="1:15" ht="17.45" customHeight="1" x14ac:dyDescent="0.25">
      <c r="B30" s="11"/>
    </row>
  </sheetData>
  <mergeCells count="6">
    <mergeCell ref="A17:O17"/>
    <mergeCell ref="A2:N14"/>
    <mergeCell ref="Q8:V8"/>
    <mergeCell ref="Q9:V9"/>
    <mergeCell ref="Q10:V10"/>
    <mergeCell ref="Q11:V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F6C64-02F2-459F-9C92-27A77D0E72FA}">
  <sheetPr>
    <tabColor rgb="FFFFFF00"/>
  </sheetPr>
  <dimension ref="B1:M128"/>
  <sheetViews>
    <sheetView zoomScaleNormal="100" workbookViewId="0">
      <selection activeCell="C8" sqref="C8"/>
    </sheetView>
  </sheetViews>
  <sheetFormatPr defaultRowHeight="15.75" x14ac:dyDescent="0.25"/>
  <cols>
    <col min="1" max="1" width="9.140625" style="1"/>
    <col min="2" max="2" width="54.5703125" style="41" customWidth="1"/>
    <col min="3" max="3" width="29.28515625" style="27" customWidth="1"/>
    <col min="4" max="4" width="43.85546875" style="24" customWidth="1"/>
    <col min="5" max="5" width="9.140625" style="1"/>
    <col min="6" max="6" width="44" style="1" customWidth="1"/>
    <col min="7" max="8" width="9.140625" style="1"/>
    <col min="9" max="9" width="48.5703125" style="1" customWidth="1"/>
    <col min="10" max="10" width="31.42578125" style="1" customWidth="1"/>
    <col min="11" max="16384" width="9.140625" style="1"/>
  </cols>
  <sheetData>
    <row r="1" spans="2:13" s="12" customFormat="1" ht="18.75" x14ac:dyDescent="0.25">
      <c r="B1" s="200" t="s">
        <v>86</v>
      </c>
      <c r="C1" s="200"/>
      <c r="D1" s="200"/>
      <c r="E1" s="200"/>
      <c r="F1" s="200"/>
      <c r="G1" s="200"/>
      <c r="H1" s="200"/>
      <c r="I1" s="200"/>
      <c r="J1" s="200"/>
      <c r="K1" s="200"/>
      <c r="L1" s="200"/>
      <c r="M1" s="200"/>
    </row>
    <row r="2" spans="2:13" ht="9.75" customHeight="1" thickBot="1" x14ac:dyDescent="0.3"/>
    <row r="3" spans="2:13" s="2" customFormat="1" ht="31.5" customHeight="1" thickTop="1" thickBot="1" x14ac:dyDescent="0.35">
      <c r="B3" s="201" t="s">
        <v>55</v>
      </c>
      <c r="C3" s="202"/>
      <c r="D3" s="203"/>
      <c r="E3" s="4"/>
      <c r="F3" s="4"/>
      <c r="G3" s="4"/>
      <c r="H3" s="4"/>
      <c r="I3" s="4"/>
      <c r="J3" s="4"/>
    </row>
    <row r="4" spans="2:13" s="42" customFormat="1" ht="17.25" thickTop="1" thickBot="1" x14ac:dyDescent="0.3">
      <c r="C4" s="45"/>
      <c r="D4" s="43"/>
    </row>
    <row r="5" spans="2:13" s="42" customFormat="1" ht="27" customHeight="1" x14ac:dyDescent="0.25">
      <c r="B5" s="158" t="s">
        <v>7</v>
      </c>
      <c r="C5" s="172"/>
      <c r="D5" s="43"/>
    </row>
    <row r="6" spans="2:13" s="42" customFormat="1" ht="31.5" customHeight="1" x14ac:dyDescent="0.25">
      <c r="B6" s="159" t="s">
        <v>258</v>
      </c>
      <c r="C6" s="156"/>
      <c r="D6" s="43"/>
    </row>
    <row r="7" spans="2:13" s="42" customFormat="1" ht="34.5" customHeight="1" x14ac:dyDescent="0.25">
      <c r="B7" s="88" t="s">
        <v>259</v>
      </c>
      <c r="C7" s="44"/>
      <c r="D7" s="43"/>
    </row>
    <row r="8" spans="2:13" s="42" customFormat="1" ht="38.25" customHeight="1" x14ac:dyDescent="0.25">
      <c r="B8" s="159" t="s">
        <v>303</v>
      </c>
      <c r="C8" s="404"/>
      <c r="D8" s="43"/>
    </row>
    <row r="9" spans="2:13" s="42" customFormat="1" ht="36" customHeight="1" x14ac:dyDescent="0.25">
      <c r="B9" s="144" t="s">
        <v>260</v>
      </c>
      <c r="C9" s="171"/>
      <c r="D9" s="43"/>
    </row>
    <row r="10" spans="2:13" s="42" customFormat="1" ht="39" customHeight="1" thickBot="1" x14ac:dyDescent="0.3">
      <c r="B10" s="160" t="s">
        <v>261</v>
      </c>
      <c r="C10" s="170">
        <f>IFERROR(LOOKUP(C9,tech!B1:B3,tech!C1:C3),0)</f>
        <v>0</v>
      </c>
      <c r="D10" s="43"/>
    </row>
    <row r="11" spans="2:13" s="42" customFormat="1" ht="24" customHeight="1" thickBot="1" x14ac:dyDescent="0.3">
      <c r="C11" s="45"/>
      <c r="D11" s="43"/>
    </row>
    <row r="12" spans="2:13" s="42" customFormat="1" ht="33" customHeight="1" x14ac:dyDescent="0.25">
      <c r="B12" s="204" t="s">
        <v>158</v>
      </c>
      <c r="C12" s="205"/>
      <c r="D12" s="206"/>
    </row>
    <row r="13" spans="2:13" s="42" customFormat="1" ht="43.5" customHeight="1" x14ac:dyDescent="0.25">
      <c r="B13" s="91" t="s">
        <v>0</v>
      </c>
      <c r="C13" s="46" t="s">
        <v>46</v>
      </c>
      <c r="D13" s="92" t="s">
        <v>51</v>
      </c>
    </row>
    <row r="14" spans="2:13" ht="36" customHeight="1" x14ac:dyDescent="0.25">
      <c r="B14" s="144" t="s">
        <v>49</v>
      </c>
      <c r="C14" s="21">
        <f>SUM(C15:C18)</f>
        <v>0</v>
      </c>
      <c r="D14" s="93" t="s">
        <v>93</v>
      </c>
    </row>
    <row r="15" spans="2:13" ht="51.75" customHeight="1" x14ac:dyDescent="0.25">
      <c r="B15" s="146" t="s">
        <v>219</v>
      </c>
      <c r="C15" s="25"/>
      <c r="D15" s="93" t="s">
        <v>94</v>
      </c>
    </row>
    <row r="16" spans="2:13" ht="41.25" customHeight="1" x14ac:dyDescent="0.25">
      <c r="B16" s="146" t="s">
        <v>220</v>
      </c>
      <c r="C16" s="25"/>
      <c r="D16" s="93" t="s">
        <v>94</v>
      </c>
    </row>
    <row r="17" spans="2:4" ht="41.25" customHeight="1" x14ac:dyDescent="0.25">
      <c r="B17" s="146" t="s">
        <v>266</v>
      </c>
      <c r="C17" s="25"/>
      <c r="D17" s="93" t="s">
        <v>93</v>
      </c>
    </row>
    <row r="18" spans="2:4" ht="41.25" customHeight="1" x14ac:dyDescent="0.25">
      <c r="B18" s="146" t="s">
        <v>221</v>
      </c>
      <c r="C18" s="25"/>
      <c r="D18" s="93" t="s">
        <v>93</v>
      </c>
    </row>
    <row r="19" spans="2:4" ht="41.25" customHeight="1" x14ac:dyDescent="0.25">
      <c r="B19" s="144" t="s">
        <v>50</v>
      </c>
      <c r="C19" s="21">
        <f>SUM(C20:C22)</f>
        <v>0</v>
      </c>
      <c r="D19" s="93" t="s">
        <v>87</v>
      </c>
    </row>
    <row r="20" spans="2:4" ht="41.25" customHeight="1" x14ac:dyDescent="0.25">
      <c r="B20" s="146" t="s">
        <v>65</v>
      </c>
      <c r="C20" s="25"/>
      <c r="D20" s="93" t="s">
        <v>87</v>
      </c>
    </row>
    <row r="21" spans="2:4" ht="41.25" customHeight="1" x14ac:dyDescent="0.25">
      <c r="B21" s="146" t="s">
        <v>66</v>
      </c>
      <c r="C21" s="25"/>
      <c r="D21" s="93" t="s">
        <v>87</v>
      </c>
    </row>
    <row r="22" spans="2:4" ht="41.25" customHeight="1" x14ac:dyDescent="0.25">
      <c r="B22" s="146" t="s">
        <v>67</v>
      </c>
      <c r="C22" s="25"/>
      <c r="D22" s="93" t="s">
        <v>87</v>
      </c>
    </row>
    <row r="23" spans="2:4" ht="46.5" customHeight="1" x14ac:dyDescent="0.25">
      <c r="B23" s="144" t="s">
        <v>104</v>
      </c>
      <c r="C23" s="25"/>
      <c r="D23" s="93" t="s">
        <v>109</v>
      </c>
    </row>
    <row r="24" spans="2:4" ht="43.5" customHeight="1" thickBot="1" x14ac:dyDescent="0.3">
      <c r="B24" s="23" t="s">
        <v>103</v>
      </c>
      <c r="C24" s="94"/>
      <c r="D24" s="95" t="s">
        <v>109</v>
      </c>
    </row>
    <row r="25" spans="2:4" ht="24.75" customHeight="1" thickBot="1" x14ac:dyDescent="0.3">
      <c r="B25" s="1"/>
      <c r="C25" s="1"/>
      <c r="D25" s="1"/>
    </row>
    <row r="26" spans="2:4" ht="36" customHeight="1" x14ac:dyDescent="0.25">
      <c r="B26" s="197" t="s">
        <v>167</v>
      </c>
      <c r="C26" s="198"/>
      <c r="D26" s="199"/>
    </row>
    <row r="27" spans="2:4" ht="36" customHeight="1" x14ac:dyDescent="0.25">
      <c r="B27" s="91" t="s">
        <v>0</v>
      </c>
      <c r="C27" s="46" t="s">
        <v>46</v>
      </c>
      <c r="D27" s="92" t="s">
        <v>51</v>
      </c>
    </row>
    <row r="28" spans="2:4" ht="36" customHeight="1" x14ac:dyDescent="0.25">
      <c r="B28" s="115" t="s">
        <v>105</v>
      </c>
      <c r="C28" s="25"/>
      <c r="D28" s="93" t="s">
        <v>93</v>
      </c>
    </row>
    <row r="29" spans="2:4" ht="36" customHeight="1" x14ac:dyDescent="0.25">
      <c r="B29" s="144" t="s">
        <v>132</v>
      </c>
      <c r="C29" s="25"/>
      <c r="D29" s="93" t="s">
        <v>110</v>
      </c>
    </row>
    <row r="30" spans="2:4" ht="43.5" customHeight="1" x14ac:dyDescent="0.25">
      <c r="B30" s="144" t="s">
        <v>118</v>
      </c>
      <c r="C30" s="25"/>
      <c r="D30" s="93" t="s">
        <v>70</v>
      </c>
    </row>
    <row r="31" spans="2:4" ht="56.25" customHeight="1" x14ac:dyDescent="0.25">
      <c r="B31" s="144" t="s">
        <v>246</v>
      </c>
      <c r="C31" s="25"/>
      <c r="D31" s="93" t="s">
        <v>70</v>
      </c>
    </row>
    <row r="32" spans="2:4" ht="39" customHeight="1" x14ac:dyDescent="0.25">
      <c r="B32" s="144" t="s">
        <v>245</v>
      </c>
      <c r="C32" s="173">
        <f>C10</f>
        <v>0</v>
      </c>
      <c r="D32" s="93" t="s">
        <v>243</v>
      </c>
    </row>
    <row r="33" spans="2:4" ht="36" customHeight="1" x14ac:dyDescent="0.25">
      <c r="B33" s="144" t="s">
        <v>106</v>
      </c>
      <c r="C33" s="25"/>
      <c r="D33" s="93" t="s">
        <v>107</v>
      </c>
    </row>
    <row r="34" spans="2:4" ht="44.25" customHeight="1" x14ac:dyDescent="0.25">
      <c r="B34" s="144" t="s">
        <v>112</v>
      </c>
      <c r="C34" s="25"/>
      <c r="D34" s="93" t="s">
        <v>108</v>
      </c>
    </row>
    <row r="35" spans="2:4" ht="44.25" customHeight="1" x14ac:dyDescent="0.25">
      <c r="B35" s="116" t="str">
        <f>B14</f>
        <v>Загальні доходи закладу (грн)</v>
      </c>
      <c r="C35" s="22">
        <f>C14</f>
        <v>0</v>
      </c>
      <c r="D35" s="93" t="str">
        <f>D14</f>
        <v>Звітність закладу
1нс, таблиця 4</v>
      </c>
    </row>
    <row r="36" spans="2:4" ht="44.25" customHeight="1" x14ac:dyDescent="0.25">
      <c r="B36" s="144" t="s">
        <v>56</v>
      </c>
      <c r="C36" s="25"/>
      <c r="D36" s="93" t="s">
        <v>107</v>
      </c>
    </row>
    <row r="37" spans="2:4" ht="44.25" customHeight="1" thickBot="1" x14ac:dyDescent="0.3">
      <c r="B37" s="23" t="s">
        <v>57</v>
      </c>
      <c r="C37" s="94"/>
      <c r="D37" s="95" t="s">
        <v>107</v>
      </c>
    </row>
    <row r="38" spans="2:4" ht="29.25" customHeight="1" thickBot="1" x14ac:dyDescent="0.3">
      <c r="B38" s="1"/>
      <c r="C38" s="1"/>
      <c r="D38" s="1"/>
    </row>
    <row r="39" spans="2:4" ht="44.25" customHeight="1" x14ac:dyDescent="0.25">
      <c r="B39" s="197" t="s">
        <v>175</v>
      </c>
      <c r="C39" s="198"/>
      <c r="D39" s="199"/>
    </row>
    <row r="40" spans="2:4" ht="44.25" customHeight="1" x14ac:dyDescent="0.25">
      <c r="B40" s="91" t="s">
        <v>0</v>
      </c>
      <c r="C40" s="46" t="s">
        <v>46</v>
      </c>
      <c r="D40" s="92" t="s">
        <v>51</v>
      </c>
    </row>
    <row r="41" spans="2:4" ht="44.25" customHeight="1" x14ac:dyDescent="0.25">
      <c r="B41" s="144" t="str">
        <f>B35</f>
        <v>Загальні доходи закладу (грн)</v>
      </c>
      <c r="C41" s="22">
        <f>C35</f>
        <v>0</v>
      </c>
      <c r="D41" s="93" t="str">
        <f>D35</f>
        <v>Звітність закладу
1нс, таблиця 4</v>
      </c>
    </row>
    <row r="42" spans="2:4" ht="44.25" customHeight="1" x14ac:dyDescent="0.25">
      <c r="B42" s="121" t="str">
        <f>B33</f>
        <v>Сума загальних витрат закладу (грн)</v>
      </c>
      <c r="C42" s="22">
        <f>C33</f>
        <v>0</v>
      </c>
      <c r="D42" s="93" t="str">
        <f>D33</f>
        <v>Звітність закладу
1нс, таблиця 6</v>
      </c>
    </row>
    <row r="43" spans="2:4" ht="44.25" customHeight="1" x14ac:dyDescent="0.25">
      <c r="B43" s="144" t="s">
        <v>151</v>
      </c>
      <c r="C43" s="25"/>
      <c r="D43" s="93" t="s">
        <v>109</v>
      </c>
    </row>
    <row r="44" spans="2:4" ht="42" customHeight="1" x14ac:dyDescent="0.25">
      <c r="B44" s="144" t="s">
        <v>152</v>
      </c>
      <c r="C44" s="25"/>
      <c r="D44" s="93" t="s">
        <v>109</v>
      </c>
    </row>
    <row r="45" spans="2:4" ht="35.25" customHeight="1" x14ac:dyDescent="0.25">
      <c r="B45" s="144" t="s">
        <v>119</v>
      </c>
      <c r="C45" s="25"/>
      <c r="D45" s="93" t="s">
        <v>109</v>
      </c>
    </row>
    <row r="46" spans="2:4" ht="35.25" customHeight="1" x14ac:dyDescent="0.25">
      <c r="B46" s="144" t="s">
        <v>120</v>
      </c>
      <c r="C46" s="25"/>
      <c r="D46" s="93" t="s">
        <v>109</v>
      </c>
    </row>
    <row r="47" spans="2:4" ht="35.25" customHeight="1" x14ac:dyDescent="0.25">
      <c r="B47" s="144" t="s">
        <v>121</v>
      </c>
      <c r="C47" s="25"/>
      <c r="D47" s="93" t="s">
        <v>109</v>
      </c>
    </row>
    <row r="48" spans="2:4" ht="35.25" customHeight="1" thickBot="1" x14ac:dyDescent="0.3">
      <c r="B48" s="23" t="s">
        <v>150</v>
      </c>
      <c r="C48" s="94"/>
      <c r="D48" s="95" t="s">
        <v>109</v>
      </c>
    </row>
    <row r="49" spans="2:4" ht="35.25" customHeight="1" thickBot="1" x14ac:dyDescent="0.3"/>
    <row r="50" spans="2:4" ht="35.25" customHeight="1" x14ac:dyDescent="0.25">
      <c r="B50" s="197" t="s">
        <v>180</v>
      </c>
      <c r="C50" s="198"/>
      <c r="D50" s="199"/>
    </row>
    <row r="51" spans="2:4" ht="35.25" customHeight="1" x14ac:dyDescent="0.25">
      <c r="B51" s="91" t="s">
        <v>0</v>
      </c>
      <c r="C51" s="46" t="s">
        <v>46</v>
      </c>
      <c r="D51" s="92" t="s">
        <v>51</v>
      </c>
    </row>
    <row r="52" spans="2:4" ht="39.75" customHeight="1" x14ac:dyDescent="0.25">
      <c r="B52" s="144" t="s">
        <v>224</v>
      </c>
      <c r="C52" s="25">
        <f>C53+C54+C55+C56+C57+C58</f>
        <v>0</v>
      </c>
      <c r="D52" s="93" t="s">
        <v>70</v>
      </c>
    </row>
    <row r="53" spans="2:4" ht="39.75" customHeight="1" x14ac:dyDescent="0.25">
      <c r="B53" s="146" t="s">
        <v>225</v>
      </c>
      <c r="C53" s="25"/>
      <c r="D53" s="93" t="s">
        <v>70</v>
      </c>
    </row>
    <row r="54" spans="2:4" ht="39.75" customHeight="1" x14ac:dyDescent="0.25">
      <c r="B54" s="146" t="s">
        <v>300</v>
      </c>
      <c r="C54" s="25"/>
      <c r="D54" s="93" t="s">
        <v>70</v>
      </c>
    </row>
    <row r="55" spans="2:4" ht="39.75" customHeight="1" x14ac:dyDescent="0.25">
      <c r="B55" s="146" t="s">
        <v>222</v>
      </c>
      <c r="C55" s="25">
        <f>C61</f>
        <v>0</v>
      </c>
      <c r="D55" s="93" t="s">
        <v>87</v>
      </c>
    </row>
    <row r="56" spans="2:4" ht="39.75" customHeight="1" x14ac:dyDescent="0.25">
      <c r="B56" s="146" t="s">
        <v>223</v>
      </c>
      <c r="C56" s="25"/>
      <c r="D56" s="93" t="s">
        <v>87</v>
      </c>
    </row>
    <row r="57" spans="2:4" ht="39.75" customHeight="1" x14ac:dyDescent="0.25">
      <c r="B57" s="146" t="s">
        <v>226</v>
      </c>
      <c r="C57" s="25"/>
      <c r="D57" s="93" t="s">
        <v>70</v>
      </c>
    </row>
    <row r="58" spans="2:4" ht="39.75" customHeight="1" x14ac:dyDescent="0.25">
      <c r="B58" s="146" t="s">
        <v>227</v>
      </c>
      <c r="C58" s="25"/>
      <c r="D58" s="93" t="s">
        <v>70</v>
      </c>
    </row>
    <row r="59" spans="2:4" ht="34.5" customHeight="1" x14ac:dyDescent="0.25">
      <c r="B59" s="146" t="s">
        <v>52</v>
      </c>
      <c r="C59" s="25"/>
      <c r="D59" s="93" t="s">
        <v>70</v>
      </c>
    </row>
    <row r="60" spans="2:4" ht="38.25" customHeight="1" x14ac:dyDescent="0.25">
      <c r="B60" s="146" t="s">
        <v>54</v>
      </c>
      <c r="C60" s="25"/>
      <c r="D60" s="93" t="s">
        <v>70</v>
      </c>
    </row>
    <row r="61" spans="2:4" ht="31.5" customHeight="1" x14ac:dyDescent="0.25">
      <c r="B61" s="144" t="s">
        <v>62</v>
      </c>
      <c r="C61" s="26">
        <f>SUM(C62:C64)</f>
        <v>0</v>
      </c>
      <c r="D61" s="93" t="s">
        <v>87</v>
      </c>
    </row>
    <row r="62" spans="2:4" ht="33" customHeight="1" x14ac:dyDescent="0.25">
      <c r="B62" s="146" t="s">
        <v>63</v>
      </c>
      <c r="C62" s="25"/>
      <c r="D62" s="93" t="s">
        <v>87</v>
      </c>
    </row>
    <row r="63" spans="2:4" ht="33" customHeight="1" x14ac:dyDescent="0.25">
      <c r="B63" s="146" t="s">
        <v>61</v>
      </c>
      <c r="C63" s="25"/>
      <c r="D63" s="93" t="s">
        <v>87</v>
      </c>
    </row>
    <row r="64" spans="2:4" ht="33" customHeight="1" x14ac:dyDescent="0.25">
      <c r="B64" s="146" t="s">
        <v>64</v>
      </c>
      <c r="C64" s="25"/>
      <c r="D64" s="93" t="s">
        <v>87</v>
      </c>
    </row>
    <row r="65" spans="2:7" ht="44.25" customHeight="1" thickBot="1" x14ac:dyDescent="0.3">
      <c r="B65" s="23" t="s">
        <v>69</v>
      </c>
      <c r="C65" s="94"/>
      <c r="D65" s="95" t="s">
        <v>70</v>
      </c>
    </row>
    <row r="66" spans="2:7" ht="35.25" customHeight="1" thickBot="1" x14ac:dyDescent="0.3"/>
    <row r="67" spans="2:7" ht="39" customHeight="1" x14ac:dyDescent="0.25">
      <c r="B67" s="197" t="s">
        <v>184</v>
      </c>
      <c r="C67" s="198"/>
      <c r="D67" s="199"/>
    </row>
    <row r="68" spans="2:7" ht="48.75" customHeight="1" x14ac:dyDescent="0.25">
      <c r="B68" s="91" t="s">
        <v>0</v>
      </c>
      <c r="C68" s="46" t="s">
        <v>46</v>
      </c>
      <c r="D68" s="92" t="s">
        <v>51</v>
      </c>
    </row>
    <row r="69" spans="2:7" ht="39.75" customHeight="1" x14ac:dyDescent="0.25">
      <c r="B69" s="144" t="s">
        <v>130</v>
      </c>
      <c r="C69" s="207"/>
      <c r="D69" s="208"/>
    </row>
    <row r="70" spans="2:7" ht="37.5" customHeight="1" x14ac:dyDescent="0.25">
      <c r="B70" s="146" t="s">
        <v>60</v>
      </c>
      <c r="C70" s="25"/>
      <c r="D70" s="93" t="s">
        <v>131</v>
      </c>
    </row>
    <row r="71" spans="2:7" ht="35.25" customHeight="1" x14ac:dyDescent="0.25">
      <c r="B71" s="146" t="s">
        <v>216</v>
      </c>
      <c r="C71" s="39"/>
      <c r="D71" s="93" t="s">
        <v>131</v>
      </c>
    </row>
    <row r="72" spans="2:7" ht="40.5" customHeight="1" x14ac:dyDescent="0.25">
      <c r="B72" s="146" t="s">
        <v>217</v>
      </c>
      <c r="C72" s="39"/>
      <c r="D72" s="93" t="s">
        <v>131</v>
      </c>
    </row>
    <row r="73" spans="2:7" ht="39" customHeight="1" x14ac:dyDescent="0.25">
      <c r="B73" s="146" t="s">
        <v>58</v>
      </c>
      <c r="C73" s="25"/>
      <c r="D73" s="93" t="s">
        <v>131</v>
      </c>
    </row>
    <row r="74" spans="2:7" ht="34.5" customHeight="1" x14ac:dyDescent="0.25">
      <c r="B74" s="146" t="s">
        <v>59</v>
      </c>
      <c r="C74" s="25"/>
      <c r="D74" s="93" t="s">
        <v>131</v>
      </c>
    </row>
    <row r="75" spans="2:7" ht="36" customHeight="1" x14ac:dyDescent="0.25">
      <c r="B75" s="146" t="s">
        <v>208</v>
      </c>
      <c r="C75" s="39"/>
      <c r="D75" s="93" t="s">
        <v>131</v>
      </c>
    </row>
    <row r="76" spans="2:7" ht="33" customHeight="1" x14ac:dyDescent="0.25">
      <c r="B76" s="146" t="s">
        <v>228</v>
      </c>
      <c r="C76" s="39"/>
      <c r="D76" s="93" t="s">
        <v>131</v>
      </c>
    </row>
    <row r="77" spans="2:7" ht="40.5" customHeight="1" x14ac:dyDescent="0.25">
      <c r="B77" s="144" t="s">
        <v>272</v>
      </c>
      <c r="C77" s="22">
        <f>IFERROR(LOOKUP(C7,B101:B126,C101:C126),0)</f>
        <v>0</v>
      </c>
      <c r="D77" s="93" t="s">
        <v>68</v>
      </c>
    </row>
    <row r="78" spans="2:7" ht="48.75" customHeight="1" x14ac:dyDescent="0.25">
      <c r="B78" s="144" t="str">
        <f>B46</f>
        <v>Гроші та їх еквіваленти (грн)</v>
      </c>
      <c r="C78" s="22">
        <f>C46</f>
        <v>0</v>
      </c>
      <c r="D78" s="93" t="s">
        <v>109</v>
      </c>
    </row>
    <row r="79" spans="2:7" ht="32.25" customHeight="1" x14ac:dyDescent="0.25">
      <c r="B79" s="144" t="str">
        <f t="shared" ref="B79:D80" si="0">B36</f>
        <v>Витрати на оплату праці (грн)</v>
      </c>
      <c r="C79" s="22">
        <f>C36</f>
        <v>0</v>
      </c>
      <c r="D79" s="93" t="str">
        <f t="shared" si="0"/>
        <v>Звітність закладу
1нс, таблиця 6</v>
      </c>
      <c r="G79" s="15"/>
    </row>
    <row r="80" spans="2:7" ht="46.5" customHeight="1" x14ac:dyDescent="0.25">
      <c r="B80" s="144" t="str">
        <f t="shared" si="0"/>
        <v>Відрахування на соціальні заходи (грн)</v>
      </c>
      <c r="C80" s="22">
        <f>C37</f>
        <v>0</v>
      </c>
      <c r="D80" s="93" t="str">
        <f t="shared" si="0"/>
        <v>Звітність закладу
1нс, таблиця 6</v>
      </c>
      <c r="G80" s="15"/>
    </row>
    <row r="81" spans="2:7" ht="46.5" customHeight="1" x14ac:dyDescent="0.25">
      <c r="B81" s="144" t="str">
        <f>B32</f>
        <v>Кількість місяців, за який проводиться аналіз (міс.)</v>
      </c>
      <c r="C81" s="22">
        <f>C10</f>
        <v>0</v>
      </c>
      <c r="D81" s="93" t="str">
        <f t="shared" ref="D81" si="1">D32</f>
        <v>х</v>
      </c>
      <c r="G81" s="15"/>
    </row>
    <row r="82" spans="2:7" ht="57.75" customHeight="1" x14ac:dyDescent="0.25">
      <c r="B82" s="144" t="s">
        <v>273</v>
      </c>
      <c r="C82" s="22">
        <v>20000</v>
      </c>
      <c r="D82" s="93" t="s">
        <v>188</v>
      </c>
      <c r="E82" s="14"/>
      <c r="F82" s="14"/>
      <c r="G82" s="15"/>
    </row>
    <row r="83" spans="2:7" ht="83.25" customHeight="1" thickBot="1" x14ac:dyDescent="0.3">
      <c r="B83" s="23" t="s">
        <v>274</v>
      </c>
      <c r="C83" s="120">
        <v>13500</v>
      </c>
      <c r="D83" s="95" t="s">
        <v>188</v>
      </c>
      <c r="E83" s="14"/>
      <c r="F83" s="14"/>
      <c r="G83" s="15"/>
    </row>
    <row r="84" spans="2:7" ht="23.25" customHeight="1" thickBot="1" x14ac:dyDescent="0.3">
      <c r="B84" s="1"/>
      <c r="C84" s="1"/>
      <c r="D84" s="1"/>
      <c r="E84" s="14"/>
      <c r="F84" s="14"/>
      <c r="G84" s="15"/>
    </row>
    <row r="85" spans="2:7" ht="33.75" customHeight="1" x14ac:dyDescent="0.25">
      <c r="B85" s="197" t="s">
        <v>189</v>
      </c>
      <c r="C85" s="198"/>
      <c r="D85" s="199"/>
      <c r="E85" s="14"/>
      <c r="F85" s="14"/>
      <c r="G85" s="15"/>
    </row>
    <row r="86" spans="2:7" ht="51" customHeight="1" x14ac:dyDescent="0.25">
      <c r="B86" s="91" t="s">
        <v>0</v>
      </c>
      <c r="C86" s="46" t="s">
        <v>46</v>
      </c>
      <c r="D86" s="92" t="s">
        <v>51</v>
      </c>
      <c r="E86" s="14"/>
      <c r="F86" s="14"/>
      <c r="G86" s="15"/>
    </row>
    <row r="87" spans="2:7" ht="37.5" customHeight="1" x14ac:dyDescent="0.25">
      <c r="B87" s="144" t="str">
        <f t="shared" ref="B87:D90" si="2">B19</f>
        <v>Кількість підписаних декларацій з лікарями ПМД (од.)</v>
      </c>
      <c r="C87" s="22">
        <f>C19</f>
        <v>0</v>
      </c>
      <c r="D87" s="174" t="str">
        <f t="shared" si="2"/>
        <v>Дашборд  НСЗУ/Дані МІС</v>
      </c>
    </row>
    <row r="88" spans="2:7" ht="31.5" customHeight="1" x14ac:dyDescent="0.25">
      <c r="B88" s="146" t="str">
        <f t="shared" si="2"/>
        <v>у лікарів загальної практики-сімейних лікарів (од.)</v>
      </c>
      <c r="C88" s="22">
        <f t="shared" si="2"/>
        <v>0</v>
      </c>
      <c r="D88" s="174" t="str">
        <f t="shared" si="2"/>
        <v>Дашборд  НСЗУ/Дані МІС</v>
      </c>
    </row>
    <row r="89" spans="2:7" ht="36.75" customHeight="1" x14ac:dyDescent="0.25">
      <c r="B89" s="146" t="str">
        <f t="shared" si="2"/>
        <v>у лікарів-терапевтів (од.)</v>
      </c>
      <c r="C89" s="22">
        <f t="shared" si="2"/>
        <v>0</v>
      </c>
      <c r="D89" s="174" t="str">
        <f t="shared" si="2"/>
        <v>Дашборд  НСЗУ/Дані МІС</v>
      </c>
    </row>
    <row r="90" spans="2:7" ht="36" customHeight="1" x14ac:dyDescent="0.25">
      <c r="B90" s="146" t="str">
        <f t="shared" si="2"/>
        <v>у лікарів-педіатрів (од.)</v>
      </c>
      <c r="C90" s="22">
        <f t="shared" si="2"/>
        <v>0</v>
      </c>
      <c r="D90" s="174" t="str">
        <f t="shared" si="2"/>
        <v>Дашборд  НСЗУ/Дані МІС</v>
      </c>
    </row>
    <row r="91" spans="2:7" ht="35.25" customHeight="1" x14ac:dyDescent="0.25">
      <c r="B91" s="144" t="str">
        <f>B61</f>
        <v>Кількість лікарів ПМД (ос.):</v>
      </c>
      <c r="C91" s="22">
        <f>C61</f>
        <v>0</v>
      </c>
      <c r="D91" s="174" t="str">
        <f t="shared" ref="B91:D94" si="3">D61</f>
        <v>Дашборд  НСЗУ/Дані МІС</v>
      </c>
    </row>
    <row r="92" spans="2:7" ht="39.75" customHeight="1" x14ac:dyDescent="0.25">
      <c r="B92" s="146" t="str">
        <f t="shared" si="3"/>
        <v>лікарів загальної практики-сімейних лікарів</v>
      </c>
      <c r="C92" s="22">
        <f t="shared" si="3"/>
        <v>0</v>
      </c>
      <c r="D92" s="174" t="str">
        <f t="shared" si="3"/>
        <v>Дашборд  НСЗУ/Дані МІС</v>
      </c>
    </row>
    <row r="93" spans="2:7" ht="42" customHeight="1" x14ac:dyDescent="0.25">
      <c r="B93" s="146" t="str">
        <f t="shared" si="3"/>
        <v>лікарів-терапевтів</v>
      </c>
      <c r="C93" s="22">
        <f t="shared" si="3"/>
        <v>0</v>
      </c>
      <c r="D93" s="174" t="str">
        <f t="shared" si="3"/>
        <v>Дашборд  НСЗУ/Дані МІС</v>
      </c>
    </row>
    <row r="94" spans="2:7" ht="42" customHeight="1" x14ac:dyDescent="0.25">
      <c r="B94" s="146" t="str">
        <f t="shared" si="3"/>
        <v>лікарів-педіатрів</v>
      </c>
      <c r="C94" s="22">
        <f t="shared" si="3"/>
        <v>0</v>
      </c>
      <c r="D94" s="174" t="str">
        <f t="shared" si="3"/>
        <v>Дашборд  НСЗУ/Дані МІС</v>
      </c>
    </row>
    <row r="95" spans="2:7" ht="39.75" customHeight="1" thickBot="1" x14ac:dyDescent="0.3">
      <c r="B95" s="23" t="s">
        <v>71</v>
      </c>
      <c r="C95" s="124"/>
      <c r="D95" s="95" t="s">
        <v>68</v>
      </c>
    </row>
    <row r="99" spans="2:3" ht="24.75" customHeight="1" x14ac:dyDescent="0.25">
      <c r="B99" s="196" t="s">
        <v>294</v>
      </c>
      <c r="C99" s="196"/>
    </row>
    <row r="100" spans="2:3" ht="78.75" x14ac:dyDescent="0.25">
      <c r="B100" s="177" t="s">
        <v>295</v>
      </c>
      <c r="C100" s="177" t="s">
        <v>299</v>
      </c>
    </row>
    <row r="101" spans="2:3" x14ac:dyDescent="0.25">
      <c r="B101" s="178" t="s">
        <v>20</v>
      </c>
      <c r="C101" s="179">
        <v>0</v>
      </c>
    </row>
    <row r="102" spans="2:3" x14ac:dyDescent="0.25">
      <c r="B102" s="178" t="s">
        <v>21</v>
      </c>
      <c r="C102" s="180">
        <v>14649.8570956678</v>
      </c>
    </row>
    <row r="103" spans="2:3" x14ac:dyDescent="0.25">
      <c r="B103" s="178" t="s">
        <v>22</v>
      </c>
      <c r="C103" s="180">
        <v>14706.2847671896</v>
      </c>
    </row>
    <row r="104" spans="2:3" x14ac:dyDescent="0.25">
      <c r="B104" s="178" t="s">
        <v>23</v>
      </c>
      <c r="C104" s="180">
        <v>17694.499160826701</v>
      </c>
    </row>
    <row r="105" spans="2:3" x14ac:dyDescent="0.25">
      <c r="B105" s="178" t="s">
        <v>24</v>
      </c>
      <c r="C105" s="180">
        <v>16931.303576168899</v>
      </c>
    </row>
    <row r="106" spans="2:3" x14ac:dyDescent="0.25">
      <c r="B106" s="178" t="s">
        <v>25</v>
      </c>
      <c r="C106" s="180">
        <v>15334.936829153299</v>
      </c>
    </row>
    <row r="107" spans="2:3" x14ac:dyDescent="0.25">
      <c r="B107" s="178" t="s">
        <v>26</v>
      </c>
      <c r="C107" s="180">
        <v>17561.433352172098</v>
      </c>
    </row>
    <row r="108" spans="2:3" x14ac:dyDescent="0.25">
      <c r="B108" s="178" t="s">
        <v>27</v>
      </c>
      <c r="C108" s="180">
        <v>16832.934670828501</v>
      </c>
    </row>
    <row r="109" spans="2:3" x14ac:dyDescent="0.25">
      <c r="B109" s="178" t="s">
        <v>28</v>
      </c>
      <c r="C109" s="180">
        <v>15719.5454581862</v>
      </c>
    </row>
    <row r="110" spans="2:3" x14ac:dyDescent="0.25">
      <c r="B110" s="178" t="s">
        <v>29</v>
      </c>
      <c r="C110" s="180">
        <v>18384.998650149599</v>
      </c>
    </row>
    <row r="111" spans="2:3" x14ac:dyDescent="0.25">
      <c r="B111" s="178" t="s">
        <v>30</v>
      </c>
      <c r="C111" s="180">
        <v>14786.337283184301</v>
      </c>
    </row>
    <row r="112" spans="2:3" x14ac:dyDescent="0.25">
      <c r="B112" s="178" t="s">
        <v>31</v>
      </c>
      <c r="C112" s="180">
        <v>24240.2343340691</v>
      </c>
    </row>
    <row r="113" spans="2:3" x14ac:dyDescent="0.25">
      <c r="B113" s="178" t="s">
        <v>32</v>
      </c>
      <c r="C113" s="180">
        <v>15335.141473019799</v>
      </c>
    </row>
    <row r="114" spans="2:3" x14ac:dyDescent="0.25">
      <c r="B114" s="178" t="s">
        <v>33</v>
      </c>
      <c r="C114" s="180">
        <v>16542.5416795118</v>
      </c>
    </row>
    <row r="115" spans="2:3" x14ac:dyDescent="0.25">
      <c r="B115" s="178" t="s">
        <v>34</v>
      </c>
      <c r="C115" s="180">
        <v>17433.838060001399</v>
      </c>
    </row>
    <row r="116" spans="2:3" x14ac:dyDescent="0.25">
      <c r="B116" s="178" t="s">
        <v>35</v>
      </c>
      <c r="C116" s="180">
        <v>15752.4691032215</v>
      </c>
    </row>
    <row r="117" spans="2:3" x14ac:dyDescent="0.25">
      <c r="B117" s="178" t="s">
        <v>36</v>
      </c>
      <c r="C117" s="180">
        <v>14726.503420848199</v>
      </c>
    </row>
    <row r="118" spans="2:3" x14ac:dyDescent="0.25">
      <c r="B118" s="178" t="s">
        <v>37</v>
      </c>
      <c r="C118" s="180">
        <v>14245.493747807701</v>
      </c>
    </row>
    <row r="119" spans="2:3" x14ac:dyDescent="0.25">
      <c r="B119" s="178" t="s">
        <v>38</v>
      </c>
      <c r="C119" s="180">
        <v>16497.7004791131</v>
      </c>
    </row>
    <row r="120" spans="2:3" x14ac:dyDescent="0.25">
      <c r="B120" s="178" t="s">
        <v>39</v>
      </c>
      <c r="C120" s="180">
        <v>15834.194178298299</v>
      </c>
    </row>
    <row r="121" spans="2:3" x14ac:dyDescent="0.25">
      <c r="B121" s="178" t="s">
        <v>40</v>
      </c>
      <c r="C121" s="180">
        <v>13859.7979023672</v>
      </c>
    </row>
    <row r="122" spans="2:3" x14ac:dyDescent="0.25">
      <c r="B122" s="178" t="s">
        <v>41</v>
      </c>
      <c r="C122" s="180">
        <v>16261.4558181259</v>
      </c>
    </row>
    <row r="123" spans="2:3" x14ac:dyDescent="0.25">
      <c r="B123" s="178" t="s">
        <v>42</v>
      </c>
      <c r="C123" s="180">
        <v>15976.131090934001</v>
      </c>
    </row>
    <row r="124" spans="2:3" x14ac:dyDescent="0.25">
      <c r="B124" s="178" t="s">
        <v>43</v>
      </c>
      <c r="C124" s="180">
        <v>15641.140298743599</v>
      </c>
    </row>
    <row r="125" spans="2:3" x14ac:dyDescent="0.25">
      <c r="B125" s="178" t="s">
        <v>44</v>
      </c>
      <c r="C125" s="180">
        <v>13606.1730002069</v>
      </c>
    </row>
    <row r="126" spans="2:3" x14ac:dyDescent="0.25">
      <c r="B126" s="178" t="s">
        <v>45</v>
      </c>
      <c r="C126" s="180">
        <v>21562.8894684402</v>
      </c>
    </row>
    <row r="127" spans="2:3" x14ac:dyDescent="0.25">
      <c r="B127" s="42" t="s">
        <v>296</v>
      </c>
      <c r="C127" s="42"/>
    </row>
    <row r="128" spans="2:3" x14ac:dyDescent="0.25">
      <c r="B128" s="181" t="s">
        <v>297</v>
      </c>
      <c r="C128" s="45"/>
    </row>
  </sheetData>
  <mergeCells count="10">
    <mergeCell ref="B99:C99"/>
    <mergeCell ref="B50:D50"/>
    <mergeCell ref="B67:D67"/>
    <mergeCell ref="B85:D85"/>
    <mergeCell ref="B1:M1"/>
    <mergeCell ref="B3:D3"/>
    <mergeCell ref="B12:D12"/>
    <mergeCell ref="B26:D26"/>
    <mergeCell ref="B39:D39"/>
    <mergeCell ref="C69:D69"/>
  </mergeCells>
  <phoneticPr fontId="35" type="noConversion"/>
  <conditionalFormatting sqref="C5:C9 C14:C24 C28:C31 C33:C34 C36:C37 C43:C48 C52:C60 C62:C65">
    <cfRule type="notContainsBlanks" dxfId="52" priority="9">
      <formula>LEN(TRIM(C5))&gt;0</formula>
    </cfRule>
  </conditionalFormatting>
  <conditionalFormatting sqref="C70:C76">
    <cfRule type="notContainsBlanks" dxfId="51" priority="1">
      <formula>LEN(TRIM(C70))&gt;0</formula>
    </cfRule>
  </conditionalFormatting>
  <conditionalFormatting sqref="C95">
    <cfRule type="notContainsBlanks" dxfId="50" priority="4">
      <formula>LEN(TRIM(C95))&gt;0</formula>
    </cfRule>
  </conditionalFormatting>
  <dataValidations count="1">
    <dataValidation type="list" allowBlank="1" showInputMessage="1" showErrorMessage="1" sqref="C7" xr:uid="{582448DA-9DA5-4611-9BF7-7E69D22614B1}">
      <formula1>$B$101:$B$126</formula1>
    </dataValidation>
  </dataValidations>
  <hyperlinks>
    <hyperlink ref="B128" r:id="rId1" xr:uid="{E81A72BC-E513-468B-A40F-E2DDE273EA4F}"/>
  </hyperlinks>
  <pageMargins left="0.7" right="0.7" top="0.75" bottom="0.75" header="0.3" footer="0.3"/>
  <ignoredErrors>
    <ignoredError sqref="C81" 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DB5A0141-4413-466F-B9EF-B57264666ACD}">
          <x14:formula1>
            <xm:f>tech!$B$1:$B$3</xm:f>
          </x14:formula1>
          <xm:sqref>C9</xm:sqref>
        </x14:dataValidation>
        <x14:dataValidation type="list" allowBlank="1" showInputMessage="1" showErrorMessage="1" xr:uid="{14101E84-F346-441A-B3EF-C594125BF07D}">
          <x14:formula1>
            <xm:f>tech!$H$2:$H$8</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4D6D-B378-4F48-B7FF-D75ACC231051}">
  <sheetPr>
    <tabColor rgb="FFFFC000"/>
  </sheetPr>
  <dimension ref="B1:O21"/>
  <sheetViews>
    <sheetView zoomScale="70" zoomScaleNormal="70" workbookViewId="0">
      <selection activeCell="E7" sqref="E7"/>
    </sheetView>
  </sheetViews>
  <sheetFormatPr defaultRowHeight="15.75" x14ac:dyDescent="0.25"/>
  <cols>
    <col min="1" max="1" width="9.140625" style="1"/>
    <col min="2" max="2" width="37.140625" style="1" customWidth="1"/>
    <col min="3" max="3" width="48" style="1" customWidth="1"/>
    <col min="4" max="4" width="13.85546875" style="1" customWidth="1"/>
    <col min="5" max="5" width="15.28515625" style="1" customWidth="1"/>
    <col min="6" max="6" width="9.140625" style="1" customWidth="1"/>
    <col min="7" max="7" width="37.42578125" style="1" customWidth="1"/>
    <col min="8" max="8" width="47.5703125" style="1" customWidth="1"/>
    <col min="9" max="9" width="14" style="1" customWidth="1"/>
    <col min="10" max="10" width="14.42578125" style="1" customWidth="1"/>
    <col min="11" max="11" width="9.140625" style="1"/>
    <col min="12" max="12" width="48.140625" style="1" customWidth="1"/>
    <col min="13" max="13" width="43" style="1" customWidth="1"/>
    <col min="14" max="14" width="16.85546875" style="1" customWidth="1"/>
    <col min="15" max="15" width="15" style="1" customWidth="1"/>
    <col min="16" max="16384" width="9.140625" style="1"/>
  </cols>
  <sheetData>
    <row r="1" spans="2:15" s="12" customFormat="1" ht="18.75" x14ac:dyDescent="0.25">
      <c r="B1" s="200" t="s">
        <v>86</v>
      </c>
      <c r="C1" s="200"/>
      <c r="D1" s="200"/>
      <c r="E1" s="200"/>
      <c r="F1" s="200"/>
      <c r="G1" s="200"/>
      <c r="H1" s="200"/>
      <c r="I1" s="200"/>
      <c r="J1" s="200"/>
    </row>
    <row r="2" spans="2:15" ht="16.5" thickBot="1" x14ac:dyDescent="0.3"/>
    <row r="3" spans="2:15" s="2" customFormat="1" ht="36" customHeight="1" thickTop="1" thickBot="1" x14ac:dyDescent="0.35">
      <c r="B3" s="209" t="s">
        <v>17</v>
      </c>
      <c r="C3" s="210"/>
      <c r="D3" s="210"/>
      <c r="E3" s="210"/>
      <c r="F3" s="210"/>
      <c r="G3" s="210"/>
      <c r="H3" s="210"/>
      <c r="I3" s="210"/>
      <c r="J3" s="210"/>
      <c r="K3" s="210"/>
      <c r="L3" s="210"/>
      <c r="M3" s="210"/>
      <c r="N3" s="210"/>
      <c r="O3" s="211"/>
    </row>
    <row r="4" spans="2:15" ht="23.25" customHeight="1" thickTop="1" thickBot="1" x14ac:dyDescent="0.3"/>
    <row r="5" spans="2:15" s="2" customFormat="1" ht="15.75" customHeight="1" x14ac:dyDescent="0.3">
      <c r="B5" s="212" t="s">
        <v>6</v>
      </c>
      <c r="C5" s="228" t="s">
        <v>92</v>
      </c>
      <c r="D5" s="216" t="s">
        <v>47</v>
      </c>
      <c r="E5" s="217"/>
      <c r="G5" s="212" t="s">
        <v>89</v>
      </c>
      <c r="H5" s="231" t="s">
        <v>92</v>
      </c>
      <c r="I5" s="224" t="s">
        <v>47</v>
      </c>
      <c r="J5" s="225"/>
      <c r="L5" s="212" t="s">
        <v>16</v>
      </c>
      <c r="M5" s="228" t="s">
        <v>92</v>
      </c>
      <c r="N5" s="216" t="s">
        <v>47</v>
      </c>
      <c r="O5" s="217"/>
    </row>
    <row r="6" spans="2:15" s="2" customFormat="1" ht="21" thickBot="1" x14ac:dyDescent="0.35">
      <c r="B6" s="213"/>
      <c r="C6" s="229"/>
      <c r="D6" s="218"/>
      <c r="E6" s="219"/>
      <c r="G6" s="213"/>
      <c r="H6" s="232"/>
      <c r="I6" s="226"/>
      <c r="J6" s="227"/>
      <c r="L6" s="213"/>
      <c r="M6" s="230"/>
      <c r="N6" s="218"/>
      <c r="O6" s="219"/>
    </row>
    <row r="7" spans="2:15" s="41" customFormat="1" ht="105" x14ac:dyDescent="0.25">
      <c r="B7" s="57" t="s">
        <v>95</v>
      </c>
      <c r="C7" s="62" t="s">
        <v>275</v>
      </c>
      <c r="D7" s="73" t="s">
        <v>72</v>
      </c>
      <c r="E7" s="74">
        <f>IFERROR(LOOKUP(ПМД_Вхідні_дані!C8,tech!H2:H8,tech!I2:I8),0)</f>
        <v>0</v>
      </c>
      <c r="G7" s="57" t="s">
        <v>99</v>
      </c>
      <c r="H7" s="62" t="s">
        <v>277</v>
      </c>
      <c r="I7" s="63" t="s">
        <v>73</v>
      </c>
      <c r="J7" s="64">
        <v>0.9</v>
      </c>
      <c r="L7" s="57" t="s">
        <v>115</v>
      </c>
      <c r="M7" s="70" t="s">
        <v>141</v>
      </c>
      <c r="N7" s="68" t="s">
        <v>72</v>
      </c>
      <c r="O7" s="69">
        <v>0</v>
      </c>
    </row>
    <row r="8" spans="2:15" s="41" customFormat="1" ht="94.5" customHeight="1" x14ac:dyDescent="0.25">
      <c r="B8" s="233" t="s">
        <v>96</v>
      </c>
      <c r="C8" s="237" t="s">
        <v>147</v>
      </c>
      <c r="D8" s="241" t="s">
        <v>72</v>
      </c>
      <c r="E8" s="243">
        <v>0.65</v>
      </c>
      <c r="G8" s="233" t="s">
        <v>102</v>
      </c>
      <c r="H8" s="235" t="s">
        <v>278</v>
      </c>
      <c r="I8" s="59" t="s">
        <v>100</v>
      </c>
      <c r="J8" s="65">
        <v>3</v>
      </c>
      <c r="L8" s="233" t="s">
        <v>116</v>
      </c>
      <c r="M8" s="237" t="s">
        <v>279</v>
      </c>
      <c r="N8" s="241" t="s">
        <v>73</v>
      </c>
      <c r="O8" s="239">
        <v>0.3</v>
      </c>
    </row>
    <row r="9" spans="2:15" s="41" customFormat="1" ht="106.5" customHeight="1" x14ac:dyDescent="0.25">
      <c r="B9" s="234"/>
      <c r="C9" s="238"/>
      <c r="D9" s="242"/>
      <c r="E9" s="244"/>
      <c r="G9" s="234"/>
      <c r="H9" s="236"/>
      <c r="I9" s="58" t="s">
        <v>101</v>
      </c>
      <c r="J9" s="66">
        <v>6</v>
      </c>
      <c r="L9" s="234"/>
      <c r="M9" s="238"/>
      <c r="N9" s="242"/>
      <c r="O9" s="245"/>
    </row>
    <row r="10" spans="2:15" s="41" customFormat="1" ht="80.25" customHeight="1" x14ac:dyDescent="0.25">
      <c r="B10" s="233" t="s">
        <v>97</v>
      </c>
      <c r="C10" s="237" t="s">
        <v>117</v>
      </c>
      <c r="D10" s="241" t="s">
        <v>74</v>
      </c>
      <c r="E10" s="246">
        <v>1</v>
      </c>
      <c r="G10" s="233" t="s">
        <v>111</v>
      </c>
      <c r="H10" s="237" t="s">
        <v>140</v>
      </c>
      <c r="I10" s="241" t="s">
        <v>72</v>
      </c>
      <c r="J10" s="239">
        <v>0.05</v>
      </c>
      <c r="L10" s="233" t="s">
        <v>239</v>
      </c>
      <c r="M10" s="237" t="s">
        <v>280</v>
      </c>
      <c r="N10" s="60" t="s">
        <v>100</v>
      </c>
      <c r="O10" s="153">
        <v>0.2</v>
      </c>
    </row>
    <row r="11" spans="2:15" s="41" customFormat="1" ht="78" customHeight="1" x14ac:dyDescent="0.25">
      <c r="B11" s="234"/>
      <c r="C11" s="238"/>
      <c r="D11" s="242"/>
      <c r="E11" s="247"/>
      <c r="G11" s="234"/>
      <c r="H11" s="238"/>
      <c r="I11" s="242"/>
      <c r="J11" s="240"/>
      <c r="L11" s="234"/>
      <c r="M11" s="238"/>
      <c r="N11" s="61" t="s">
        <v>101</v>
      </c>
      <c r="O11" s="154">
        <v>0.25</v>
      </c>
    </row>
    <row r="12" spans="2:15" s="41" customFormat="1" ht="90" customHeight="1" thickBot="1" x14ac:dyDescent="0.3">
      <c r="B12" s="53" t="s">
        <v>98</v>
      </c>
      <c r="C12" s="54" t="s">
        <v>276</v>
      </c>
      <c r="D12" s="55" t="s">
        <v>72</v>
      </c>
      <c r="E12" s="56">
        <v>0.05</v>
      </c>
      <c r="G12" s="53" t="s">
        <v>113</v>
      </c>
      <c r="H12" s="54" t="s">
        <v>114</v>
      </c>
      <c r="I12" s="55" t="s">
        <v>73</v>
      </c>
      <c r="J12" s="67">
        <v>1</v>
      </c>
      <c r="L12" s="72" t="s">
        <v>122</v>
      </c>
      <c r="M12" s="78" t="s">
        <v>123</v>
      </c>
      <c r="N12" s="55" t="s">
        <v>72</v>
      </c>
      <c r="O12" s="56">
        <v>1</v>
      </c>
    </row>
    <row r="13" spans="2:15" s="41" customFormat="1" ht="16.5" thickBot="1" x14ac:dyDescent="0.3">
      <c r="L13" s="71"/>
    </row>
    <row r="14" spans="2:15" s="50" customFormat="1" ht="15.75" customHeight="1" x14ac:dyDescent="0.3">
      <c r="B14" s="214" t="s">
        <v>91</v>
      </c>
      <c r="C14" s="228" t="s">
        <v>92</v>
      </c>
      <c r="D14" s="220" t="s">
        <v>47</v>
      </c>
      <c r="E14" s="221"/>
      <c r="G14" s="214" t="s">
        <v>5</v>
      </c>
      <c r="H14" s="228" t="s">
        <v>92</v>
      </c>
      <c r="I14" s="220" t="s">
        <v>47</v>
      </c>
      <c r="J14" s="221"/>
      <c r="L14" s="214" t="s">
        <v>9</v>
      </c>
      <c r="M14" s="228" t="s">
        <v>92</v>
      </c>
      <c r="N14" s="220" t="s">
        <v>47</v>
      </c>
      <c r="O14" s="221"/>
    </row>
    <row r="15" spans="2:15" s="50" customFormat="1" ht="21" thickBot="1" x14ac:dyDescent="0.35">
      <c r="B15" s="215"/>
      <c r="C15" s="230"/>
      <c r="D15" s="222"/>
      <c r="E15" s="223"/>
      <c r="G15" s="215"/>
      <c r="H15" s="230"/>
      <c r="I15" s="222"/>
      <c r="J15" s="223"/>
      <c r="L15" s="215"/>
      <c r="M15" s="230"/>
      <c r="N15" s="222"/>
      <c r="O15" s="223"/>
    </row>
    <row r="16" spans="2:15" s="41" customFormat="1" ht="166.5" customHeight="1" x14ac:dyDescent="0.25">
      <c r="B16" s="57" t="s">
        <v>126</v>
      </c>
      <c r="C16" s="70" t="s">
        <v>125</v>
      </c>
      <c r="D16" s="68" t="s">
        <v>72</v>
      </c>
      <c r="E16" s="77">
        <v>0.9</v>
      </c>
      <c r="G16" s="57" t="s">
        <v>133</v>
      </c>
      <c r="H16" s="62" t="s">
        <v>281</v>
      </c>
      <c r="I16" s="73" t="s">
        <v>72</v>
      </c>
      <c r="J16" s="81">
        <v>1</v>
      </c>
      <c r="L16" s="57" t="s">
        <v>137</v>
      </c>
      <c r="M16" s="62" t="s">
        <v>284</v>
      </c>
      <c r="N16" s="73" t="s">
        <v>73</v>
      </c>
      <c r="O16" s="47">
        <v>1801</v>
      </c>
    </row>
    <row r="17" spans="2:15" s="41" customFormat="1" ht="135.75" customHeight="1" x14ac:dyDescent="0.25">
      <c r="B17" s="52" t="s">
        <v>127</v>
      </c>
      <c r="C17" s="79" t="s">
        <v>142</v>
      </c>
      <c r="D17" s="75" t="s">
        <v>73</v>
      </c>
      <c r="E17" s="48">
        <v>0.65</v>
      </c>
      <c r="G17" s="52" t="s">
        <v>134</v>
      </c>
      <c r="H17" s="38" t="s">
        <v>282</v>
      </c>
      <c r="I17" s="49" t="s">
        <v>72</v>
      </c>
      <c r="J17" s="82">
        <v>1</v>
      </c>
      <c r="L17" s="52" t="s">
        <v>138</v>
      </c>
      <c r="M17" s="38" t="s">
        <v>285</v>
      </c>
      <c r="N17" s="49" t="s">
        <v>73</v>
      </c>
      <c r="O17" s="51">
        <v>2001</v>
      </c>
    </row>
    <row r="18" spans="2:15" s="41" customFormat="1" ht="98.25" customHeight="1" x14ac:dyDescent="0.25">
      <c r="B18" s="233" t="s">
        <v>128</v>
      </c>
      <c r="C18" s="237" t="s">
        <v>143</v>
      </c>
      <c r="D18" s="241" t="s">
        <v>74</v>
      </c>
      <c r="E18" s="243">
        <v>1</v>
      </c>
      <c r="G18" s="233" t="s">
        <v>135</v>
      </c>
      <c r="H18" s="237" t="s">
        <v>283</v>
      </c>
      <c r="I18" s="59" t="s">
        <v>100</v>
      </c>
      <c r="J18" s="65">
        <v>2</v>
      </c>
      <c r="L18" s="248" t="s">
        <v>139</v>
      </c>
      <c r="M18" s="249" t="s">
        <v>286</v>
      </c>
      <c r="N18" s="250" t="s">
        <v>73</v>
      </c>
      <c r="O18" s="251">
        <v>901</v>
      </c>
    </row>
    <row r="19" spans="2:15" s="41" customFormat="1" ht="53.25" customHeight="1" x14ac:dyDescent="0.25">
      <c r="B19" s="234"/>
      <c r="C19" s="238"/>
      <c r="D19" s="242"/>
      <c r="E19" s="244"/>
      <c r="G19" s="234"/>
      <c r="H19" s="238"/>
      <c r="I19" s="58" t="s">
        <v>101</v>
      </c>
      <c r="J19" s="66">
        <v>3</v>
      </c>
      <c r="L19" s="248"/>
      <c r="M19" s="249"/>
      <c r="N19" s="250"/>
      <c r="O19" s="251"/>
    </row>
    <row r="20" spans="2:15" s="41" customFormat="1" ht="160.5" customHeight="1" thickBot="1" x14ac:dyDescent="0.3">
      <c r="B20" s="53" t="s">
        <v>129</v>
      </c>
      <c r="C20" s="80" t="s">
        <v>144</v>
      </c>
      <c r="D20" s="76" t="s">
        <v>74</v>
      </c>
      <c r="E20" s="67">
        <v>2</v>
      </c>
      <c r="G20" s="83" t="s">
        <v>136</v>
      </c>
      <c r="H20" s="78" t="s">
        <v>145</v>
      </c>
      <c r="I20" s="55" t="s">
        <v>72</v>
      </c>
      <c r="J20" s="84">
        <v>1.5</v>
      </c>
      <c r="L20" s="53" t="s">
        <v>253</v>
      </c>
      <c r="M20" s="54" t="s">
        <v>146</v>
      </c>
      <c r="N20" s="55" t="s">
        <v>74</v>
      </c>
      <c r="O20" s="84">
        <v>0</v>
      </c>
    </row>
    <row r="21" spans="2:15" ht="42.75" customHeight="1" x14ac:dyDescent="0.25"/>
  </sheetData>
  <mergeCells count="50">
    <mergeCell ref="N8:N9"/>
    <mergeCell ref="O8:O9"/>
    <mergeCell ref="L10:L11"/>
    <mergeCell ref="B18:B19"/>
    <mergeCell ref="C18:C19"/>
    <mergeCell ref="D18:D19"/>
    <mergeCell ref="E18:E19"/>
    <mergeCell ref="B10:B11"/>
    <mergeCell ref="D10:D11"/>
    <mergeCell ref="E10:E11"/>
    <mergeCell ref="L18:L19"/>
    <mergeCell ref="M18:M19"/>
    <mergeCell ref="N18:N19"/>
    <mergeCell ref="O18:O19"/>
    <mergeCell ref="G18:G19"/>
    <mergeCell ref="H18:H19"/>
    <mergeCell ref="B8:B9"/>
    <mergeCell ref="C8:C9"/>
    <mergeCell ref="D8:D9"/>
    <mergeCell ref="E8:E9"/>
    <mergeCell ref="I10:I11"/>
    <mergeCell ref="H5:H6"/>
    <mergeCell ref="C14:C15"/>
    <mergeCell ref="M5:M6"/>
    <mergeCell ref="M14:M15"/>
    <mergeCell ref="G8:G9"/>
    <mergeCell ref="H8:H9"/>
    <mergeCell ref="L8:L9"/>
    <mergeCell ref="M8:M9"/>
    <mergeCell ref="C10:C11"/>
    <mergeCell ref="H10:H11"/>
    <mergeCell ref="G10:G11"/>
    <mergeCell ref="M10:M11"/>
    <mergeCell ref="J10:J11"/>
    <mergeCell ref="B1:J1"/>
    <mergeCell ref="B3:O3"/>
    <mergeCell ref="B5:B6"/>
    <mergeCell ref="G5:G6"/>
    <mergeCell ref="B14:B15"/>
    <mergeCell ref="G14:G15"/>
    <mergeCell ref="L14:L15"/>
    <mergeCell ref="N5:O6"/>
    <mergeCell ref="N14:O15"/>
    <mergeCell ref="D5:E6"/>
    <mergeCell ref="I5:J6"/>
    <mergeCell ref="D14:E15"/>
    <mergeCell ref="I14:J15"/>
    <mergeCell ref="L5:L6"/>
    <mergeCell ref="C5:C6"/>
    <mergeCell ref="H14:H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5C6CE-8B62-42FF-B509-DC6783F320B1}">
  <sheetPr>
    <tabColor rgb="FF0070C0"/>
  </sheetPr>
  <dimension ref="A1:AF38"/>
  <sheetViews>
    <sheetView zoomScale="40" zoomScaleNormal="40" workbookViewId="0">
      <selection activeCell="A10" sqref="A10"/>
    </sheetView>
  </sheetViews>
  <sheetFormatPr defaultRowHeight="15.75" x14ac:dyDescent="0.25"/>
  <cols>
    <col min="1" max="1" width="9.140625" style="1"/>
    <col min="2" max="2" width="53.140625" style="1" customWidth="1"/>
    <col min="3" max="3" width="41.42578125" style="1" customWidth="1"/>
    <col min="4" max="5" width="23.7109375" style="1" customWidth="1"/>
    <col min="6" max="6" width="13.7109375" style="1" customWidth="1"/>
    <col min="7" max="7" width="18.85546875" style="1" customWidth="1"/>
    <col min="8" max="8" width="21.28515625" style="1" customWidth="1"/>
    <col min="9" max="9" width="29.42578125" style="1" customWidth="1"/>
    <col min="10" max="10" width="15.140625" style="42" customWidth="1"/>
    <col min="11" max="11" width="43.85546875" style="1" customWidth="1"/>
    <col min="12" max="12" width="41" style="1" customWidth="1"/>
    <col min="13" max="13" width="23.5703125" style="1" customWidth="1"/>
    <col min="14" max="14" width="24.85546875" style="1" customWidth="1"/>
    <col min="15" max="15" width="14.42578125" style="1" customWidth="1"/>
    <col min="16" max="16" width="17.85546875" style="1" customWidth="1"/>
    <col min="17" max="17" width="20.28515625" style="1" customWidth="1"/>
    <col min="18" max="18" width="26.28515625" style="1" customWidth="1"/>
    <col min="19" max="19" width="15.7109375" style="42" customWidth="1"/>
    <col min="20" max="20" width="41" style="1" customWidth="1"/>
    <col min="21" max="21" width="32.7109375" style="1" customWidth="1"/>
    <col min="22" max="22" width="21.42578125" style="1" customWidth="1"/>
    <col min="23" max="23" width="26.28515625" style="1" customWidth="1"/>
    <col min="24" max="24" width="14.5703125" style="1" customWidth="1"/>
    <col min="25" max="25" width="19.42578125" style="1" customWidth="1"/>
    <col min="26" max="26" width="22.42578125" style="1" customWidth="1"/>
    <col min="27" max="27" width="25" style="42" customWidth="1"/>
    <col min="28" max="28" width="13.85546875" style="42" customWidth="1"/>
    <col min="29" max="16384" width="9.140625" style="1"/>
  </cols>
  <sheetData>
    <row r="1" spans="2:29" s="12" customFormat="1" ht="18.75" x14ac:dyDescent="0.25">
      <c r="B1" s="200" t="s">
        <v>86</v>
      </c>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row>
    <row r="2" spans="2:29" ht="16.5" thickBot="1" x14ac:dyDescent="0.3"/>
    <row r="3" spans="2:29" s="2" customFormat="1" ht="63.75" customHeight="1" thickTop="1" thickBot="1" x14ac:dyDescent="0.35">
      <c r="B3" s="303" t="s">
        <v>8</v>
      </c>
      <c r="C3" s="304"/>
      <c r="D3" s="304"/>
      <c r="E3" s="304"/>
      <c r="F3" s="304"/>
      <c r="G3" s="304"/>
      <c r="H3" s="304"/>
      <c r="I3" s="304"/>
      <c r="J3" s="304"/>
      <c r="K3" s="304"/>
      <c r="L3" s="304"/>
      <c r="M3" s="304"/>
      <c r="N3" s="304"/>
      <c r="O3" s="304"/>
      <c r="P3" s="304"/>
      <c r="Q3" s="304"/>
      <c r="R3" s="304"/>
      <c r="S3" s="304"/>
      <c r="T3" s="304"/>
      <c r="U3" s="304"/>
      <c r="V3" s="304"/>
      <c r="W3" s="304"/>
      <c r="X3" s="304"/>
      <c r="Y3" s="304"/>
      <c r="Z3" s="304"/>
      <c r="AA3" s="305"/>
      <c r="AB3" s="42"/>
    </row>
    <row r="4" spans="2:29" ht="53.25" customHeight="1" thickTop="1" thickBot="1" x14ac:dyDescent="0.3"/>
    <row r="5" spans="2:29" ht="63" customHeight="1" x14ac:dyDescent="0.25">
      <c r="B5" s="113" t="str">
        <f>ПМД_Вхідні_дані!B5</f>
        <v>Назва закладу:</v>
      </c>
      <c r="C5" s="129">
        <f>ПМД_Вхідні_дані!C5</f>
        <v>0</v>
      </c>
    </row>
    <row r="6" spans="2:29" ht="94.5" customHeight="1" thickBot="1" x14ac:dyDescent="0.3">
      <c r="B6" s="114" t="s">
        <v>199</v>
      </c>
      <c r="C6" s="131" t="str">
        <f>IF(ПМД_Вхідні_дані!C6&gt;0,ПМД_Вхідні_дані!C6,IF(ПМД_Вхідні_дані!C6&lt;0,"-",IF(ПМД_Вхідні_дані!C6=0,"-","-")))</f>
        <v>-</v>
      </c>
    </row>
    <row r="7" spans="2:29" ht="84" customHeight="1" x14ac:dyDescent="0.25">
      <c r="B7" s="301" t="s">
        <v>19</v>
      </c>
      <c r="C7" s="112">
        <f>I13+R13+AA13+I27+R27+AA27</f>
        <v>0</v>
      </c>
    </row>
    <row r="8" spans="2:29" ht="63.75" customHeight="1" thickBot="1" x14ac:dyDescent="0.3">
      <c r="B8" s="302"/>
      <c r="C8" s="100" t="str">
        <f>IF(C7&gt;0,IF(OR(AND(ПМД_Розрахунки!C7&gt;tech!C7,ПМД_Розрахунки!C7&lt;tech!D7),ПМД_Розрахунки!C7=tech!C7,ПМД_Розрахунки!C7=tech!D7),tech!B7,IF(OR(AND(ПМД_Розрахунки!C7&gt;tech!C6,ПМД_Розрахунки!C7&lt;tech!D6),ПМД_Розрахунки!C7=tech!C6,ПМД_Розрахунки!C7=tech!D6),tech!B6,IF(OR(ПМД_Розрахунки!C7&gt;tech!C5,ПМД_Розрахунки!C7=tech!C5),tech!B5,IF(OR(ПМД_Розрахунки!C7&lt;tech!C8,C7=tech!C8),tech!B8)))),"-")</f>
        <v>-</v>
      </c>
    </row>
    <row r="9" spans="2:29" ht="45.75" customHeight="1" x14ac:dyDescent="0.25"/>
    <row r="10" spans="2:29" ht="142.5" customHeight="1" x14ac:dyDescent="0.25"/>
    <row r="11" spans="2:29" ht="38.25" customHeight="1" thickBot="1" x14ac:dyDescent="0.3"/>
    <row r="12" spans="2:29" ht="69.75" customHeight="1" x14ac:dyDescent="0.25">
      <c r="B12" s="299" t="s">
        <v>6</v>
      </c>
      <c r="C12" s="289" t="s">
        <v>159</v>
      </c>
      <c r="D12" s="289"/>
      <c r="E12" s="293" t="s">
        <v>160</v>
      </c>
      <c r="F12" s="293" t="s">
        <v>162</v>
      </c>
      <c r="G12" s="293"/>
      <c r="H12" s="104" t="s">
        <v>161</v>
      </c>
      <c r="I12" s="105" t="s">
        <v>90</v>
      </c>
      <c r="K12" s="299" t="s">
        <v>89</v>
      </c>
      <c r="L12" s="289" t="s">
        <v>159</v>
      </c>
      <c r="M12" s="289"/>
      <c r="N12" s="293" t="s">
        <v>160</v>
      </c>
      <c r="O12" s="293" t="s">
        <v>162</v>
      </c>
      <c r="P12" s="293"/>
      <c r="Q12" s="104" t="s">
        <v>161</v>
      </c>
      <c r="R12" s="105" t="s">
        <v>90</v>
      </c>
      <c r="T12" s="299" t="s">
        <v>16</v>
      </c>
      <c r="U12" s="289" t="s">
        <v>159</v>
      </c>
      <c r="V12" s="289"/>
      <c r="W12" s="293" t="s">
        <v>160</v>
      </c>
      <c r="X12" s="293" t="s">
        <v>162</v>
      </c>
      <c r="Y12" s="293"/>
      <c r="Z12" s="104" t="s">
        <v>161</v>
      </c>
      <c r="AA12" s="105" t="s">
        <v>90</v>
      </c>
    </row>
    <row r="13" spans="2:29" ht="33" customHeight="1" x14ac:dyDescent="0.25">
      <c r="B13" s="300"/>
      <c r="C13" s="290"/>
      <c r="D13" s="290"/>
      <c r="E13" s="294"/>
      <c r="F13" s="294"/>
      <c r="G13" s="294"/>
      <c r="H13" s="99">
        <f>SUM(H14:H22)</f>
        <v>0.2</v>
      </c>
      <c r="I13" s="106">
        <f>IFERROR(SUM(I14:I24),"-")</f>
        <v>0</v>
      </c>
      <c r="K13" s="300"/>
      <c r="L13" s="290"/>
      <c r="M13" s="290"/>
      <c r="N13" s="294"/>
      <c r="O13" s="294"/>
      <c r="P13" s="294"/>
      <c r="Q13" s="99">
        <f>SUM(Q14:Q22)</f>
        <v>0.1</v>
      </c>
      <c r="R13" s="137">
        <f>IFERROR(SUM(R14:R24),"-")</f>
        <v>0</v>
      </c>
      <c r="T13" s="300"/>
      <c r="U13" s="290"/>
      <c r="V13" s="290"/>
      <c r="W13" s="294"/>
      <c r="X13" s="294"/>
      <c r="Y13" s="294"/>
      <c r="Z13" s="99">
        <f>SUM(Z14:Z22)</f>
        <v>0.1</v>
      </c>
      <c r="AA13" s="137">
        <f>IFERROR(SUM(AA14:AA24),"-")</f>
        <v>0</v>
      </c>
    </row>
    <row r="14" spans="2:29" ht="96" customHeight="1" x14ac:dyDescent="0.25">
      <c r="B14" s="256" t="s">
        <v>163</v>
      </c>
      <c r="C14" s="97" t="str">
        <f>ПМД_Вхідні_дані!B15</f>
        <v>Дохід пакетом Програми медичних гарантій "Первинна медична допомога" (грн)</v>
      </c>
      <c r="D14" s="98">
        <f>ПМД_Вхідні_дані!C15</f>
        <v>0</v>
      </c>
      <c r="E14" s="292">
        <f>IFERROR(D14/D15,0)</f>
        <v>0</v>
      </c>
      <c r="F14" s="297" t="str">
        <f>ПМД_Цільові_значення!D7</f>
        <v>&gt;</v>
      </c>
      <c r="G14" s="291">
        <f>ПМД_Цільові_значення!E7</f>
        <v>0</v>
      </c>
      <c r="H14" s="255">
        <v>0.05</v>
      </c>
      <c r="I14" s="252">
        <f>IF(ПМД_Розрахунки!E14&gt;G14,ПМД_Розрахунки!H14,0)</f>
        <v>0</v>
      </c>
      <c r="J14" s="1"/>
      <c r="K14" s="256" t="s">
        <v>168</v>
      </c>
      <c r="L14" s="97" t="str">
        <f>ПМД_Вхідні_дані!B28</f>
        <v>Дохід від реалізації товарів робіт і послуг (грн)</v>
      </c>
      <c r="M14" s="98">
        <f>ПМД_Вхідні_дані!C28</f>
        <v>0</v>
      </c>
      <c r="N14" s="307">
        <f>IFERROR(M15/M14,0)</f>
        <v>0</v>
      </c>
      <c r="O14" s="306" t="str">
        <f>ПМД_Цільові_значення!I7</f>
        <v>&lt;</v>
      </c>
      <c r="P14" s="253">
        <f>ПМД_Цільові_значення!J7</f>
        <v>0.9</v>
      </c>
      <c r="Q14" s="311">
        <v>2.5000000000000001E-2</v>
      </c>
      <c r="R14" s="313">
        <f>IF(AND(N14&gt;0,ПМД_Розрахунки!N14&lt;P14),ПМД_Розрахунки!Q14,0)</f>
        <v>0</v>
      </c>
      <c r="T14" s="256" t="s">
        <v>172</v>
      </c>
      <c r="U14" s="97" t="str">
        <f>ПМД_Вхідні_дані!B41</f>
        <v>Загальні доходи закладу (грн)</v>
      </c>
      <c r="V14" s="98">
        <f>ПМД_Вхідні_дані!C41</f>
        <v>0</v>
      </c>
      <c r="W14" s="292">
        <f>IFERROR(V14-V15,0)</f>
        <v>0</v>
      </c>
      <c r="X14" s="310" t="str">
        <f>ПМД_Цільові_значення!N7</f>
        <v>&gt;</v>
      </c>
      <c r="Y14" s="298">
        <f>ПМД_Цільові_значення!O7</f>
        <v>0</v>
      </c>
      <c r="Z14" s="311">
        <v>2.5000000000000001E-2</v>
      </c>
      <c r="AA14" s="313">
        <f>IF(ПМД_Розрахунки!W14&gt;Y14,ПМД_Розрахунки!Z14,0)</f>
        <v>0</v>
      </c>
      <c r="AC14" s="41"/>
    </row>
    <row r="15" spans="2:29" ht="81" customHeight="1" x14ac:dyDescent="0.25">
      <c r="B15" s="256"/>
      <c r="C15" s="101" t="str">
        <f>ПМД_Вхідні_дані!B19</f>
        <v>Кількість підписаних декларацій з лікарями ПМД (од.)</v>
      </c>
      <c r="D15" s="98">
        <f>ПМД_Вхідні_дані!C19</f>
        <v>0</v>
      </c>
      <c r="E15" s="292"/>
      <c r="F15" s="297"/>
      <c r="G15" s="291"/>
      <c r="H15" s="255"/>
      <c r="I15" s="252"/>
      <c r="J15" s="1"/>
      <c r="K15" s="256"/>
      <c r="L15" s="97" t="str">
        <f>ПМД_Вхідні_дані!B29</f>
        <v>Виробничі витрати (грн)</v>
      </c>
      <c r="M15" s="98">
        <f>ПМД_Вхідні_дані!C29</f>
        <v>0</v>
      </c>
      <c r="N15" s="307"/>
      <c r="O15" s="306"/>
      <c r="P15" s="253"/>
      <c r="Q15" s="311"/>
      <c r="R15" s="313"/>
      <c r="T15" s="256"/>
      <c r="U15" s="97" t="str">
        <f>ПМД_Вхідні_дані!B42</f>
        <v>Сума загальних витрат закладу (грн)</v>
      </c>
      <c r="V15" s="98">
        <f>ПМД_Вхідні_дані!C42</f>
        <v>0</v>
      </c>
      <c r="W15" s="292"/>
      <c r="X15" s="310"/>
      <c r="Y15" s="253"/>
      <c r="Z15" s="311"/>
      <c r="AA15" s="313"/>
      <c r="AC15" s="41"/>
    </row>
    <row r="16" spans="2:29" ht="90.75" customHeight="1" x14ac:dyDescent="0.25">
      <c r="B16" s="256" t="s">
        <v>164</v>
      </c>
      <c r="C16" s="101" t="str">
        <f>ПМД_Вхідні_дані!B14</f>
        <v>Загальні доходи закладу (грн)</v>
      </c>
      <c r="D16" s="98">
        <f>ПМД_Вхідні_дані!C14</f>
        <v>0</v>
      </c>
      <c r="E16" s="262">
        <f>IFERROR((D17+D18)/D16,0)</f>
        <v>0</v>
      </c>
      <c r="F16" s="288" t="str">
        <f>ПМД_Цільові_значення!D8</f>
        <v>&gt;</v>
      </c>
      <c r="G16" s="288">
        <f>ПМД_Цільові_значення!E8</f>
        <v>0.65</v>
      </c>
      <c r="H16" s="255">
        <v>0.05</v>
      </c>
      <c r="I16" s="252">
        <f>IF(ПМД_Розрахунки!E16&gt;G16,ПМД_Розрахунки!H16,0)</f>
        <v>0</v>
      </c>
      <c r="J16" s="1"/>
      <c r="K16" s="256" t="s">
        <v>169</v>
      </c>
      <c r="L16" s="97" t="str">
        <f>ПМД_Вхідні_дані!B30</f>
        <v>Запаси лікарських засобів та виробів медичного призначення на кінець періоду (грн)</v>
      </c>
      <c r="M16" s="98">
        <f>ПМД_Вхідні_дані!C30</f>
        <v>0</v>
      </c>
      <c r="N16" s="307">
        <f>IFERROR(M16/(M17/M18),0)</f>
        <v>0</v>
      </c>
      <c r="O16" s="111" t="str">
        <f>ПМД_Цільові_значення!I8</f>
        <v>&gt;=</v>
      </c>
      <c r="P16" s="109">
        <f>ПМД_Цільові_значення!J8</f>
        <v>3</v>
      </c>
      <c r="Q16" s="311">
        <v>2.5000000000000001E-2</v>
      </c>
      <c r="R16" s="313">
        <f>IF(AND(OR(N16&gt;P16,N16=P16),OR(ПМД_Розрахунки!N16&lt;P17,ПМД_Розрахунки!N16=P17)),ПМД_Розрахунки!Q16,0)</f>
        <v>0</v>
      </c>
      <c r="T16" s="256" t="s">
        <v>173</v>
      </c>
      <c r="U16" s="97" t="str">
        <f>ПМД_Вхідні_дані!B43</f>
        <v>Сума зносу основних засобів (грн)</v>
      </c>
      <c r="V16" s="98">
        <f>ПМД_Вхідні_дані!C43</f>
        <v>0</v>
      </c>
      <c r="W16" s="320">
        <f>IFERROR(V16/V17,0)</f>
        <v>0</v>
      </c>
      <c r="X16" s="321" t="str">
        <f>ПМД_Цільові_значення!N8</f>
        <v>&lt;</v>
      </c>
      <c r="Y16" s="288">
        <f>ПМД_Цільові_значення!O8</f>
        <v>0.3</v>
      </c>
      <c r="Z16" s="311">
        <v>2.5000000000000001E-2</v>
      </c>
      <c r="AA16" s="313">
        <f>IF(W16&gt;0,IF(ПМД_Розрахунки!W16&lt;ПМД_Цільові_значення!O8,ПМД_Розрахунки!Z16,0),0)</f>
        <v>0</v>
      </c>
      <c r="AC16" s="41"/>
    </row>
    <row r="17" spans="2:32" ht="123" customHeight="1" x14ac:dyDescent="0.25">
      <c r="B17" s="256"/>
      <c r="C17" s="101" t="str">
        <f>ПМД_Вхідні_дані!B15</f>
        <v>Дохід пакетом Програми медичних гарантій "Первинна медична допомога" (грн)</v>
      </c>
      <c r="D17" s="98">
        <f>ПМД_Вхідні_дані!C15</f>
        <v>0</v>
      </c>
      <c r="E17" s="262"/>
      <c r="F17" s="288"/>
      <c r="G17" s="288"/>
      <c r="H17" s="255"/>
      <c r="I17" s="252"/>
      <c r="J17" s="1"/>
      <c r="K17" s="256"/>
      <c r="L17" s="152" t="str">
        <f>ПМД_Вхідні_дані!B31</f>
        <v>Обсяг споживання лікарських засобів та виробів медичного призначення (використання ТМЦ) (грн)</v>
      </c>
      <c r="M17" s="98">
        <f>ПМД_Вхідні_дані!C31</f>
        <v>0</v>
      </c>
      <c r="N17" s="307"/>
      <c r="O17" s="306" t="str">
        <f>ПМД_Цільові_значення!I9</f>
        <v>&lt;=</v>
      </c>
      <c r="P17" s="298">
        <f>ПМД_Цільові_значення!J9</f>
        <v>6</v>
      </c>
      <c r="Q17" s="311"/>
      <c r="R17" s="313"/>
      <c r="T17" s="256"/>
      <c r="U17" s="308" t="str">
        <f>ПМД_Вхідні_дані!B44</f>
        <v>Первісна вартість основних засобів (грн)</v>
      </c>
      <c r="V17" s="254">
        <f>ПМД_Вхідні_дані!C44</f>
        <v>0</v>
      </c>
      <c r="W17" s="320"/>
      <c r="X17" s="321"/>
      <c r="Y17" s="288"/>
      <c r="Z17" s="311"/>
      <c r="AA17" s="313"/>
      <c r="AC17" s="41"/>
    </row>
    <row r="18" spans="2:32" ht="72.75" customHeight="1" x14ac:dyDescent="0.25">
      <c r="B18" s="256"/>
      <c r="C18" s="101" t="str">
        <f>ПМД_Вхідні_дані!B16</f>
        <v>Дохід за іншими пакетами Програми медичних гарантій (грн)</v>
      </c>
      <c r="D18" s="98">
        <f>ПМД_Вхідні_дані!C16</f>
        <v>0</v>
      </c>
      <c r="E18" s="262"/>
      <c r="F18" s="288"/>
      <c r="G18" s="288"/>
      <c r="H18" s="255"/>
      <c r="I18" s="252"/>
      <c r="J18" s="1"/>
      <c r="K18" s="256"/>
      <c r="L18" s="152" t="s">
        <v>244</v>
      </c>
      <c r="M18" s="98">
        <f>ПМД_Вхідні_дані!C32</f>
        <v>0</v>
      </c>
      <c r="N18" s="307"/>
      <c r="O18" s="306"/>
      <c r="P18" s="298"/>
      <c r="Q18" s="311"/>
      <c r="R18" s="313"/>
      <c r="T18" s="256"/>
      <c r="U18" s="308"/>
      <c r="V18" s="254"/>
      <c r="W18" s="320"/>
      <c r="X18" s="321"/>
      <c r="Y18" s="288"/>
      <c r="Z18" s="311"/>
      <c r="AA18" s="313"/>
      <c r="AC18" s="41"/>
    </row>
    <row r="19" spans="2:32" ht="78" customHeight="1" x14ac:dyDescent="0.25">
      <c r="B19" s="256" t="s">
        <v>165</v>
      </c>
      <c r="C19" s="97" t="str">
        <f>ПМД_Вхідні_дані!B23</f>
        <v>Поточна кредиторська заборгованість за товари, роботи і послуги (грн)</v>
      </c>
      <c r="D19" s="98">
        <f>ПМД_Вхідні_дані!C23</f>
        <v>0</v>
      </c>
      <c r="E19" s="322">
        <f>IFERROR(D19/D20,0)</f>
        <v>0</v>
      </c>
      <c r="F19" s="323" t="str">
        <f>ПМД_Цільові_значення!D10</f>
        <v>=</v>
      </c>
      <c r="G19" s="323">
        <f>ПМД_Цільові_значення!E10</f>
        <v>1</v>
      </c>
      <c r="H19" s="255">
        <v>0.05</v>
      </c>
      <c r="I19" s="252">
        <f>IF(ПМД_Розрахунки!E19=G19,ПМД_Розрахунки!H19,0)</f>
        <v>0</v>
      </c>
      <c r="J19" s="1"/>
      <c r="K19" s="256" t="s">
        <v>170</v>
      </c>
      <c r="L19" s="97" t="str">
        <f>ПМД_Вхідні_дані!B33</f>
        <v>Сума загальних витрат закладу (грн)</v>
      </c>
      <c r="M19" s="98">
        <f>ПМД_Вхідні_дані!C33</f>
        <v>0</v>
      </c>
      <c r="N19" s="320">
        <f>IFERROR(M20/M19,0)</f>
        <v>0</v>
      </c>
      <c r="O19" s="306" t="str">
        <f>ПМД_Цільові_значення!I10</f>
        <v>&gt;</v>
      </c>
      <c r="P19" s="265">
        <f>ПМД_Цільові_значення!J10</f>
        <v>0.05</v>
      </c>
      <c r="Q19" s="311">
        <v>2.5000000000000001E-2</v>
      </c>
      <c r="R19" s="313">
        <f>IF(ПМД_Розрахунки!N19&gt;P19,ПМД_Розрахунки!Q19,0)</f>
        <v>0</v>
      </c>
      <c r="T19" s="256" t="s">
        <v>238</v>
      </c>
      <c r="U19" s="97" t="str">
        <f>ПМД_Вхідні_дані!B45</f>
        <v>Поточні фінансові інвестиції (грн)</v>
      </c>
      <c r="V19" s="98">
        <f>ПМД_Вхідні_дані!C45</f>
        <v>0</v>
      </c>
      <c r="W19" s="317">
        <f>IFERROR((V19+V20)/V21,0)</f>
        <v>0</v>
      </c>
      <c r="X19" s="110" t="str">
        <f>ПМД_Цільові_значення!N10</f>
        <v>&gt;=</v>
      </c>
      <c r="Y19" s="155">
        <f>ПМД_Цільові_значення!O10</f>
        <v>0.2</v>
      </c>
      <c r="Z19" s="311">
        <v>2.5000000000000001E-2</v>
      </c>
      <c r="AA19" s="313">
        <f>IF(AND(OR(ПМД_Розрахунки!W19&gt;Y19,ПМД_Розрахунки!W19=Y19),OR(ПМД_Розрахунки!W19&lt;Y20,ПМД_Розрахунки!W19=Y20)),ПМД_Розрахунки!Z19,0)</f>
        <v>0</v>
      </c>
      <c r="AC19" s="41"/>
    </row>
    <row r="20" spans="2:32" ht="64.5" customHeight="1" x14ac:dyDescent="0.25">
      <c r="B20" s="256"/>
      <c r="C20" s="308" t="str">
        <f>ПМД_Вхідні_дані!B24</f>
        <v>Дебіторська заборгованість за продукцію, товари, роботи, послуги (грн)</v>
      </c>
      <c r="D20" s="254">
        <f>ПМД_Вхідні_дані!C24</f>
        <v>0</v>
      </c>
      <c r="E20" s="322"/>
      <c r="F20" s="323"/>
      <c r="G20" s="323"/>
      <c r="H20" s="255"/>
      <c r="I20" s="252"/>
      <c r="J20" s="1"/>
      <c r="K20" s="256"/>
      <c r="L20" s="308" t="str">
        <f>ПМД_Вхідні_дані!B34</f>
        <v>Капітальні інвестиції (грн)</v>
      </c>
      <c r="M20" s="254">
        <f>ПМД_Вхідні_дані!C34</f>
        <v>0</v>
      </c>
      <c r="N20" s="320"/>
      <c r="O20" s="306"/>
      <c r="P20" s="265"/>
      <c r="Q20" s="311"/>
      <c r="R20" s="313"/>
      <c r="T20" s="256"/>
      <c r="U20" s="97" t="str">
        <f>ПМД_Вхідні_дані!B46</f>
        <v>Гроші та їх еквіваленти (грн)</v>
      </c>
      <c r="V20" s="98">
        <f>ПМД_Вхідні_дані!C46</f>
        <v>0</v>
      </c>
      <c r="W20" s="317"/>
      <c r="X20" s="318" t="str">
        <f>ПМД_Цільові_значення!N11</f>
        <v>&lt;=</v>
      </c>
      <c r="Y20" s="319">
        <f>ПМД_Цільові_значення!O11</f>
        <v>0.25</v>
      </c>
      <c r="Z20" s="311"/>
      <c r="AA20" s="313"/>
      <c r="AC20" s="41"/>
    </row>
    <row r="21" spans="2:32" ht="71.25" customHeight="1" x14ac:dyDescent="0.25">
      <c r="B21" s="256"/>
      <c r="C21" s="308"/>
      <c r="D21" s="254"/>
      <c r="E21" s="322"/>
      <c r="F21" s="323"/>
      <c r="G21" s="323"/>
      <c r="H21" s="255"/>
      <c r="I21" s="252"/>
      <c r="J21" s="1"/>
      <c r="K21" s="256"/>
      <c r="L21" s="308"/>
      <c r="M21" s="254"/>
      <c r="N21" s="320"/>
      <c r="O21" s="306"/>
      <c r="P21" s="265"/>
      <c r="Q21" s="311"/>
      <c r="R21" s="313"/>
      <c r="T21" s="256"/>
      <c r="U21" s="97" t="str">
        <f>ПМД_Вхідні_дані!B47</f>
        <v>Поточні зобов’язання і забезпечення (грн)</v>
      </c>
      <c r="V21" s="98">
        <f>ПМД_Вхідні_дані!C47</f>
        <v>0</v>
      </c>
      <c r="W21" s="317"/>
      <c r="X21" s="318"/>
      <c r="Y21" s="319"/>
      <c r="Z21" s="311"/>
      <c r="AA21" s="313"/>
      <c r="AC21" s="41"/>
    </row>
    <row r="22" spans="2:32" ht="74.25" customHeight="1" x14ac:dyDescent="0.25">
      <c r="B22" s="256" t="s">
        <v>166</v>
      </c>
      <c r="C22" s="97" t="str">
        <f>ПМД_Вхідні_дані!B14</f>
        <v>Загальні доходи закладу (грн)</v>
      </c>
      <c r="D22" s="98">
        <f>ПМД_Вхідні_дані!C14</f>
        <v>0</v>
      </c>
      <c r="E22" s="262">
        <f>IFERROR(D23/D22,0)</f>
        <v>0</v>
      </c>
      <c r="F22" s="288" t="str">
        <f>ПМД_Цільові_значення!D12</f>
        <v>&gt;</v>
      </c>
      <c r="G22" s="288">
        <f>ПМД_Цільові_значення!E12</f>
        <v>0.05</v>
      </c>
      <c r="H22" s="255">
        <v>0.05</v>
      </c>
      <c r="I22" s="252">
        <f>IF(ПМД_Розрахунки!E22&gt;G22,ПМД_Розрахунки!H22,0)</f>
        <v>0</v>
      </c>
      <c r="J22" s="1"/>
      <c r="K22" s="256" t="s">
        <v>171</v>
      </c>
      <c r="L22" s="97" t="str">
        <f>ПМД_Вхідні_дані!B35</f>
        <v>Загальні доходи закладу (грн)</v>
      </c>
      <c r="M22" s="98">
        <f>ПМД_Вхідні_дані!C35</f>
        <v>0</v>
      </c>
      <c r="N22" s="307">
        <f>IFERROR((M23+M24)/M22,0)</f>
        <v>0</v>
      </c>
      <c r="O22" s="306" t="str">
        <f>ПМД_Цільові_значення!I12</f>
        <v>&lt;</v>
      </c>
      <c r="P22" s="298">
        <f>ПМД_Цільові_значення!J12</f>
        <v>1</v>
      </c>
      <c r="Q22" s="311">
        <v>2.5000000000000001E-2</v>
      </c>
      <c r="R22" s="313">
        <f>IF(AND(ПМД_Розрахунки!N22&lt;P22,N22&gt;0),ПМД_Розрахунки!Q22,0)</f>
        <v>0</v>
      </c>
      <c r="T22" s="256" t="s">
        <v>174</v>
      </c>
      <c r="U22" s="97" t="str">
        <f>ПМД_Вхідні_дані!B41</f>
        <v>Загальні доходи закладу (грн)</v>
      </c>
      <c r="V22" s="98">
        <f>ПМД_Вхідні_дані!C41</f>
        <v>0</v>
      </c>
      <c r="W22" s="320">
        <f>IFERROR(V23/V22,0)</f>
        <v>0</v>
      </c>
      <c r="X22" s="325" t="str">
        <f>ПМД_Цільові_значення!N12</f>
        <v>&gt;</v>
      </c>
      <c r="Y22" s="265">
        <f>ПМД_Цільові_значення!O12</f>
        <v>1</v>
      </c>
      <c r="Z22" s="311">
        <v>2.5000000000000001E-2</v>
      </c>
      <c r="AA22" s="313">
        <f>IF(W22&gt;Y22,ПМД_Розрахунки!Z22,0)</f>
        <v>0</v>
      </c>
      <c r="AC22" s="41"/>
    </row>
    <row r="23" spans="2:32" ht="78.75" customHeight="1" x14ac:dyDescent="0.25">
      <c r="B23" s="256"/>
      <c r="C23" s="308" t="str">
        <f>ПМД_Вхідні_дані!B17</f>
        <v>Дохід від надання послуг за кошти фізичних і юридичних осіб (грн)</v>
      </c>
      <c r="D23" s="254">
        <f>ПМД_Вхідні_дані!C17</f>
        <v>0</v>
      </c>
      <c r="E23" s="262"/>
      <c r="F23" s="288"/>
      <c r="G23" s="288"/>
      <c r="H23" s="255"/>
      <c r="I23" s="252"/>
      <c r="J23" s="1"/>
      <c r="K23" s="256"/>
      <c r="L23" s="97" t="str">
        <f>ПМД_Вхідні_дані!B36</f>
        <v>Витрати на оплату праці (грн)</v>
      </c>
      <c r="M23" s="98">
        <f>ПМД_Вхідні_дані!C36</f>
        <v>0</v>
      </c>
      <c r="N23" s="307"/>
      <c r="O23" s="306"/>
      <c r="P23" s="253"/>
      <c r="Q23" s="311"/>
      <c r="R23" s="313"/>
      <c r="T23" s="256"/>
      <c r="U23" s="308" t="str">
        <f>ПМД_Вхідні_дані!B48</f>
        <v>Залишкова вартість основних засобів (грн)</v>
      </c>
      <c r="V23" s="254">
        <f>ПМД_Вхідні_дані!C48</f>
        <v>0</v>
      </c>
      <c r="W23" s="320"/>
      <c r="X23" s="325"/>
      <c r="Y23" s="253"/>
      <c r="Z23" s="311"/>
      <c r="AA23" s="313"/>
      <c r="AC23" s="42"/>
      <c r="AD23" s="42"/>
      <c r="AE23" s="42"/>
      <c r="AF23" s="42"/>
    </row>
    <row r="24" spans="2:32" ht="84.75" customHeight="1" thickBot="1" x14ac:dyDescent="0.3">
      <c r="B24" s="257"/>
      <c r="C24" s="309"/>
      <c r="D24" s="295"/>
      <c r="E24" s="263"/>
      <c r="F24" s="296"/>
      <c r="G24" s="296"/>
      <c r="H24" s="266"/>
      <c r="I24" s="267"/>
      <c r="J24" s="1"/>
      <c r="K24" s="257"/>
      <c r="L24" s="107" t="str">
        <f>ПМД_Вхідні_дані!B37</f>
        <v>Відрахування на соціальні заходи (грн)</v>
      </c>
      <c r="M24" s="108">
        <f>ПМД_Вхідні_дані!C37</f>
        <v>0</v>
      </c>
      <c r="N24" s="315"/>
      <c r="O24" s="316"/>
      <c r="P24" s="264"/>
      <c r="Q24" s="312"/>
      <c r="R24" s="314"/>
      <c r="T24" s="257"/>
      <c r="U24" s="309"/>
      <c r="V24" s="295"/>
      <c r="W24" s="324"/>
      <c r="X24" s="326"/>
      <c r="Y24" s="264"/>
      <c r="Z24" s="312"/>
      <c r="AA24" s="314"/>
      <c r="AC24" s="42"/>
      <c r="AD24" s="42"/>
      <c r="AE24" s="42"/>
      <c r="AF24" s="42"/>
    </row>
    <row r="25" spans="2:32" ht="30.75" customHeight="1" thickBot="1" x14ac:dyDescent="0.3"/>
    <row r="26" spans="2:32" ht="81.75" customHeight="1" x14ac:dyDescent="0.25">
      <c r="B26" s="299" t="s">
        <v>91</v>
      </c>
      <c r="C26" s="289" t="s">
        <v>159</v>
      </c>
      <c r="D26" s="289"/>
      <c r="E26" s="293" t="s">
        <v>160</v>
      </c>
      <c r="F26" s="293" t="s">
        <v>162</v>
      </c>
      <c r="G26" s="293"/>
      <c r="H26" s="104" t="s">
        <v>161</v>
      </c>
      <c r="I26" s="105" t="s">
        <v>90</v>
      </c>
      <c r="K26" s="299" t="s">
        <v>5</v>
      </c>
      <c r="L26" s="289" t="s">
        <v>159</v>
      </c>
      <c r="M26" s="289"/>
      <c r="N26" s="293" t="s">
        <v>160</v>
      </c>
      <c r="O26" s="293" t="s">
        <v>162</v>
      </c>
      <c r="P26" s="293"/>
      <c r="Q26" s="104" t="s">
        <v>161</v>
      </c>
      <c r="R26" s="105" t="s">
        <v>90</v>
      </c>
      <c r="T26" s="299" t="s">
        <v>9</v>
      </c>
      <c r="U26" s="289" t="s">
        <v>159</v>
      </c>
      <c r="V26" s="289"/>
      <c r="W26" s="293" t="s">
        <v>160</v>
      </c>
      <c r="X26" s="293" t="s">
        <v>162</v>
      </c>
      <c r="Y26" s="293"/>
      <c r="Z26" s="104" t="s">
        <v>161</v>
      </c>
      <c r="AA26" s="105" t="s">
        <v>90</v>
      </c>
    </row>
    <row r="27" spans="2:32" ht="44.25" customHeight="1" x14ac:dyDescent="0.25">
      <c r="B27" s="300"/>
      <c r="C27" s="290"/>
      <c r="D27" s="290"/>
      <c r="E27" s="294"/>
      <c r="F27" s="294"/>
      <c r="G27" s="294"/>
      <c r="H27" s="99">
        <f>SUM(H28:H36)</f>
        <v>0.2</v>
      </c>
      <c r="I27" s="106">
        <f>IFERROR(SUM(I28:I37),"-")</f>
        <v>0</v>
      </c>
      <c r="K27" s="300"/>
      <c r="L27" s="290"/>
      <c r="M27" s="290"/>
      <c r="N27" s="294"/>
      <c r="O27" s="294"/>
      <c r="P27" s="294"/>
      <c r="Q27" s="99">
        <f>SUM(Q28:Q36)</f>
        <v>0.2</v>
      </c>
      <c r="R27" s="106">
        <f>IFERROR(SUM(R28:R37),"-")</f>
        <v>0</v>
      </c>
      <c r="T27" s="300"/>
      <c r="U27" s="290"/>
      <c r="V27" s="290"/>
      <c r="W27" s="294"/>
      <c r="X27" s="294"/>
      <c r="Y27" s="294"/>
      <c r="Z27" s="99">
        <f>SUM(Z28:Z36)</f>
        <v>0.2</v>
      </c>
      <c r="AA27" s="106">
        <f>IFERROR(SUM(AA28:AA37),"-")+IF(ISBLANK(ПМД_Вхідні_дані!C64),0,IF(ПМД_Вхідні_дані!C64=0,ПМД_Розрахунки!Z32,0))</f>
        <v>0</v>
      </c>
    </row>
    <row r="28" spans="2:32" s="41" customFormat="1" ht="108" customHeight="1" x14ac:dyDescent="0.25">
      <c r="B28" s="256" t="s">
        <v>176</v>
      </c>
      <c r="C28" s="101" t="str">
        <f>ПМД_Вхідні_дані!B52</f>
        <v>Загальна штатна чисельність персоналу закладу (ос.)</v>
      </c>
      <c r="D28" s="96">
        <f>ПМД_Вхідні_дані!C52</f>
        <v>0</v>
      </c>
      <c r="E28" s="320">
        <f>IFERROR(D29/D28,0)</f>
        <v>0</v>
      </c>
      <c r="F28" s="253" t="str">
        <f>ПМД_Цільові_значення!D16</f>
        <v>&gt;</v>
      </c>
      <c r="G28" s="265">
        <f>ПМД_Цільові_значення!E16</f>
        <v>0.9</v>
      </c>
      <c r="H28" s="255">
        <v>0.05</v>
      </c>
      <c r="I28" s="252">
        <f>IF(ПМД_Розрахунки!E28&gt;=G28,ПМД_Розрахунки!H28,0)</f>
        <v>0</v>
      </c>
      <c r="K28" s="256" t="s">
        <v>181</v>
      </c>
      <c r="L28" s="97" t="s">
        <v>185</v>
      </c>
      <c r="M28" s="98">
        <f>ПМД_Вхідні_дані!C73</f>
        <v>0</v>
      </c>
      <c r="N28" s="320">
        <f>M28/M29</f>
        <v>0</v>
      </c>
      <c r="O28" s="253" t="str">
        <f>ПМД_Цільові_значення!I16</f>
        <v>&gt;</v>
      </c>
      <c r="P28" s="265">
        <f>ПМД_Цільові_значення!J16</f>
        <v>1</v>
      </c>
      <c r="Q28" s="255">
        <v>0.05</v>
      </c>
      <c r="R28" s="252">
        <f>IF(ПМД_Розрахунки!N28&gt;P28,ПМД_Розрахунки!Q28,0)</f>
        <v>0</v>
      </c>
      <c r="T28" s="336" t="s">
        <v>190</v>
      </c>
      <c r="U28" s="122" t="s">
        <v>193</v>
      </c>
      <c r="V28" s="96">
        <f>ПМД_Вхідні_дані!C88</f>
        <v>0</v>
      </c>
      <c r="W28" s="268">
        <f>IFERROR(V28/V29,0)</f>
        <v>0</v>
      </c>
      <c r="X28" s="253" t="str">
        <f>ПМД_Цільові_значення!N16</f>
        <v>&lt;</v>
      </c>
      <c r="Y28" s="254">
        <f>ПМД_Цільові_значення!O16</f>
        <v>1801</v>
      </c>
      <c r="Z28" s="255">
        <v>0.05</v>
      </c>
      <c r="AA28" s="252">
        <f>IF(AND(ПМД_Вхідні_дані!C19&gt;0,W28&gt;0,ПМД_Розрахунки!W28&lt;Y28),ПМД_Розрахунки!Z28,0)</f>
        <v>0</v>
      </c>
    </row>
    <row r="29" spans="2:32" s="41" customFormat="1" ht="165" customHeight="1" x14ac:dyDescent="0.25">
      <c r="B29" s="256"/>
      <c r="C29" s="97" t="str">
        <f>ПМД_Вхідні_дані!B59</f>
        <v>Чисельність персоналу, що працює більше 1 року (ос.)</v>
      </c>
      <c r="D29" s="96">
        <f>ПМД_Вхідні_дані!C59</f>
        <v>0</v>
      </c>
      <c r="E29" s="320"/>
      <c r="F29" s="253"/>
      <c r="G29" s="253"/>
      <c r="H29" s="255"/>
      <c r="I29" s="252"/>
      <c r="K29" s="256"/>
      <c r="L29" s="97" t="str">
        <f>ПМД_Вхідні_дані!B82</f>
        <v>Мінімальний розмір оплати праці для осіб, які займають лікарські посади, за виконану у повному обсязі місячну (годинну) норму праці (грн)</v>
      </c>
      <c r="M29" s="98">
        <f>ПМД_Вхідні_дані!C82</f>
        <v>20000</v>
      </c>
      <c r="N29" s="320"/>
      <c r="O29" s="253"/>
      <c r="P29" s="253"/>
      <c r="Q29" s="255"/>
      <c r="R29" s="252"/>
      <c r="T29" s="336"/>
      <c r="U29" s="122" t="s">
        <v>194</v>
      </c>
      <c r="V29" s="96">
        <f>ПМД_Вхідні_дані!C92</f>
        <v>0</v>
      </c>
      <c r="W29" s="268"/>
      <c r="X29" s="253"/>
      <c r="Y29" s="253"/>
      <c r="Z29" s="255"/>
      <c r="AA29" s="252"/>
    </row>
    <row r="30" spans="2:32" s="41" customFormat="1" ht="89.25" customHeight="1" x14ac:dyDescent="0.25">
      <c r="B30" s="256" t="s">
        <v>177</v>
      </c>
      <c r="C30" s="101" t="str">
        <f>ПМД_Вхідні_дані!B52</f>
        <v>Загальна штатна чисельність персоналу закладу (ос.)</v>
      </c>
      <c r="D30" s="96">
        <f>ПМД_Вхідні_дані!C52</f>
        <v>0</v>
      </c>
      <c r="E30" s="320">
        <f>IFERROR(D31/D30,0)</f>
        <v>0</v>
      </c>
      <c r="F30" s="253" t="str">
        <f>ПМД_Цільові_значення!D17</f>
        <v>&lt;</v>
      </c>
      <c r="G30" s="265">
        <f>ПМД_Цільові_значення!E17</f>
        <v>0.65</v>
      </c>
      <c r="H30" s="255">
        <v>0.05</v>
      </c>
      <c r="I30" s="252">
        <f>IF(AND(ПМД_Вхідні_дані!C60&gt;0,E30&gt;0),IF(ПМД_Розрахунки!E30&lt;G30,ПМД_Розрахунки!H30,0),0)</f>
        <v>0</v>
      </c>
      <c r="K30" s="256" t="s">
        <v>182</v>
      </c>
      <c r="L30" s="97" t="s">
        <v>186</v>
      </c>
      <c r="M30" s="98">
        <f>ПМД_Вхідні_дані!C74</f>
        <v>0</v>
      </c>
      <c r="N30" s="320">
        <f>M30/M31</f>
        <v>0</v>
      </c>
      <c r="O30" s="253" t="str">
        <f>ПМД_Цільові_значення!I17</f>
        <v>&gt;</v>
      </c>
      <c r="P30" s="265">
        <f>ПМД_Цільові_значення!J17</f>
        <v>1</v>
      </c>
      <c r="Q30" s="255">
        <v>0.05</v>
      </c>
      <c r="R30" s="252">
        <f>IF(ПМД_Розрахунки!N30&gt;P30,ПМД_Розрахунки!Q30,0)</f>
        <v>0</v>
      </c>
      <c r="T30" s="256" t="s">
        <v>191</v>
      </c>
      <c r="U30" s="122" t="s">
        <v>195</v>
      </c>
      <c r="V30" s="96">
        <f>ПМД_Вхідні_дані!C89</f>
        <v>0</v>
      </c>
      <c r="W30" s="268">
        <f>IFERROR(V30/V31,0)</f>
        <v>0</v>
      </c>
      <c r="X30" s="253" t="str">
        <f>ПМД_Цільові_значення!N17</f>
        <v>&lt;</v>
      </c>
      <c r="Y30" s="254">
        <f>ПМД_Цільові_значення!O17</f>
        <v>2001</v>
      </c>
      <c r="Z30" s="255">
        <v>0.05</v>
      </c>
      <c r="AA30" s="252">
        <f>IF(AND(ПМД_Вхідні_дані!C20&gt;0,W30&gt;0,ПМД_Розрахунки!W30&lt;Y30),ПМД_Розрахунки!Z30,0)</f>
        <v>0</v>
      </c>
    </row>
    <row r="31" spans="2:32" s="41" customFormat="1" ht="204.75" customHeight="1" x14ac:dyDescent="0.25">
      <c r="B31" s="256"/>
      <c r="C31" s="101" t="str">
        <f>ПМД_Вхідні_дані!B60</f>
        <v>Чисельність персоналу, звільненого за власним бажанням (ос.)</v>
      </c>
      <c r="D31" s="96">
        <f>ПМД_Вхідні_дані!C60</f>
        <v>0</v>
      </c>
      <c r="E31" s="320"/>
      <c r="F31" s="253"/>
      <c r="G31" s="253"/>
      <c r="H31" s="255"/>
      <c r="I31" s="252"/>
      <c r="K31" s="256"/>
      <c r="L31" s="97" t="str">
        <f>ПМД_Вхідні_дані!B83</f>
        <v>Мінімальний розмір оплати праці для осіб, які займають посади у закладах охорони здоров’я, віднесені єдиними кваліфікаційними вимогами до посад фахівців, за виконану у повному обсязі місячну (годинну) норму праці (грн)</v>
      </c>
      <c r="M31" s="98">
        <f>ПМД_Вхідні_дані!C83</f>
        <v>13500</v>
      </c>
      <c r="N31" s="320"/>
      <c r="O31" s="253"/>
      <c r="P31" s="253"/>
      <c r="Q31" s="255"/>
      <c r="R31" s="252"/>
      <c r="T31" s="256"/>
      <c r="U31" s="122" t="s">
        <v>196</v>
      </c>
      <c r="V31" s="96">
        <f>ПМД_Вхідні_дані!C93</f>
        <v>0</v>
      </c>
      <c r="W31" s="268"/>
      <c r="X31" s="253"/>
      <c r="Y31" s="253"/>
      <c r="Z31" s="255"/>
      <c r="AA31" s="252"/>
    </row>
    <row r="32" spans="2:32" s="41" customFormat="1" ht="87" customHeight="1" x14ac:dyDescent="0.25">
      <c r="B32" s="269" t="s">
        <v>178</v>
      </c>
      <c r="C32" s="335" t="s">
        <v>267</v>
      </c>
      <c r="D32" s="287">
        <f>ПМД_Вхідні_дані!C61</f>
        <v>0</v>
      </c>
      <c r="E32" s="329">
        <f>IFERROR(D34/D32,0)</f>
        <v>0</v>
      </c>
      <c r="F32" s="275" t="str">
        <f>ПМД_Цільові_значення!D18</f>
        <v>=</v>
      </c>
      <c r="G32" s="332">
        <f>ПМД_Цільові_значення!E18</f>
        <v>1</v>
      </c>
      <c r="H32" s="281">
        <v>0.05</v>
      </c>
      <c r="I32" s="284">
        <f>IF(ПМД_Розрахунки!E32=G32,ПМД_Розрахунки!H32,0)</f>
        <v>0</v>
      </c>
      <c r="K32" s="256" t="s">
        <v>183</v>
      </c>
      <c r="L32" s="97" t="str">
        <f>ПМД_Вхідні_дані!B78</f>
        <v>Гроші та їх еквіваленти (грн)</v>
      </c>
      <c r="M32" s="98">
        <f>ПМД_Вхідні_дані!C78</f>
        <v>0</v>
      </c>
      <c r="N32" s="307">
        <f>IFERROR(M32/((M33+M34)/M35),0)</f>
        <v>0</v>
      </c>
      <c r="O32" s="253" t="str">
        <f>ПМД_Цільові_значення!I18</f>
        <v>&gt;=</v>
      </c>
      <c r="P32" s="253">
        <f>ПМД_Цільові_значення!J18</f>
        <v>2</v>
      </c>
      <c r="Q32" s="255">
        <v>0.05</v>
      </c>
      <c r="R32" s="252">
        <f>IF(AND(OR(N32&gt;P32,ПМД_Розрахунки!N32=P32),OR(ПМД_Розрахунки!N32&lt;P34,ПМД_Розрахунки!N32=P34)),ПМД_Розрахунки!Q32,0)</f>
        <v>0</v>
      </c>
      <c r="T32" s="269" t="s">
        <v>192</v>
      </c>
      <c r="U32" s="258" t="s">
        <v>197</v>
      </c>
      <c r="V32" s="287">
        <f>ПМД_Вхідні_дані!C90</f>
        <v>0</v>
      </c>
      <c r="W32" s="272">
        <f>IFERROR(V32/V34,0)</f>
        <v>0</v>
      </c>
      <c r="X32" s="275" t="str">
        <f>ПМД_Цільові_значення!N18</f>
        <v>&lt;</v>
      </c>
      <c r="Y32" s="278">
        <f>ПМД_Цільові_значення!O18</f>
        <v>901</v>
      </c>
      <c r="Z32" s="281">
        <v>0.05</v>
      </c>
      <c r="AA32" s="284">
        <f>IF(AND(W32&gt;0,ПМД_Вхідні_дані!C21&gt;0,ПМД_Розрахунки!W32&lt;Y32),ПМД_Розрахунки!Z32,0)</f>
        <v>0</v>
      </c>
    </row>
    <row r="33" spans="1:27" s="41" customFormat="1" ht="108" customHeight="1" x14ac:dyDescent="0.25">
      <c r="B33" s="270"/>
      <c r="C33" s="335"/>
      <c r="D33" s="287"/>
      <c r="E33" s="330"/>
      <c r="F33" s="276"/>
      <c r="G33" s="333"/>
      <c r="H33" s="282"/>
      <c r="I33" s="285"/>
      <c r="K33" s="256"/>
      <c r="L33" s="97" t="str">
        <f>ПМД_Вхідні_дані!B79</f>
        <v>Витрати на оплату праці (грн)</v>
      </c>
      <c r="M33" s="98">
        <f>ПМД_Вхідні_дані!C79</f>
        <v>0</v>
      </c>
      <c r="N33" s="307"/>
      <c r="O33" s="253"/>
      <c r="P33" s="253"/>
      <c r="Q33" s="255"/>
      <c r="R33" s="252"/>
      <c r="T33" s="270"/>
      <c r="U33" s="258"/>
      <c r="V33" s="287"/>
      <c r="W33" s="273"/>
      <c r="X33" s="276"/>
      <c r="Y33" s="279"/>
      <c r="Z33" s="282"/>
      <c r="AA33" s="285"/>
    </row>
    <row r="34" spans="1:27" s="41" customFormat="1" ht="108" customHeight="1" x14ac:dyDescent="0.25">
      <c r="B34" s="270"/>
      <c r="C34" s="258" t="str">
        <f>ПМД_Вхідні_дані!B65</f>
        <v>Кількість лікарів ПМД, які отримали щонайменше 50 балів БПР (за рік) (ос.)</v>
      </c>
      <c r="D34" s="287">
        <f>ПМД_Вхідні_дані!C65</f>
        <v>0</v>
      </c>
      <c r="E34" s="330"/>
      <c r="F34" s="276"/>
      <c r="G34" s="333"/>
      <c r="H34" s="282"/>
      <c r="I34" s="285"/>
      <c r="K34" s="256"/>
      <c r="L34" s="97" t="str">
        <f>ПМД_Вхідні_дані!B80</f>
        <v>Відрахування на соціальні заходи (грн)</v>
      </c>
      <c r="M34" s="98">
        <f>ПМД_Вхідні_дані!C80</f>
        <v>0</v>
      </c>
      <c r="N34" s="307"/>
      <c r="O34" s="253" t="str">
        <f>ПМД_Цільові_значення!I19</f>
        <v>&lt;=</v>
      </c>
      <c r="P34" s="253">
        <f>ПМД_Цільові_значення!J19</f>
        <v>3</v>
      </c>
      <c r="Q34" s="255"/>
      <c r="R34" s="252"/>
      <c r="T34" s="270"/>
      <c r="U34" s="258" t="s">
        <v>198</v>
      </c>
      <c r="V34" s="287">
        <f>ПМД_Вхідні_дані!C94</f>
        <v>0</v>
      </c>
      <c r="W34" s="273"/>
      <c r="X34" s="276"/>
      <c r="Y34" s="279"/>
      <c r="Z34" s="282"/>
      <c r="AA34" s="285"/>
    </row>
    <row r="35" spans="1:27" s="41" customFormat="1" ht="108" customHeight="1" x14ac:dyDescent="0.25">
      <c r="B35" s="271"/>
      <c r="C35" s="258"/>
      <c r="D35" s="287"/>
      <c r="E35" s="331"/>
      <c r="F35" s="277"/>
      <c r="G35" s="334"/>
      <c r="H35" s="283"/>
      <c r="I35" s="286"/>
      <c r="K35" s="256"/>
      <c r="L35" s="152" t="s">
        <v>244</v>
      </c>
      <c r="M35" s="98">
        <f>ПМД_Вхідні_дані!C81</f>
        <v>0</v>
      </c>
      <c r="N35" s="307"/>
      <c r="O35" s="253"/>
      <c r="P35" s="253"/>
      <c r="Q35" s="255"/>
      <c r="R35" s="252"/>
      <c r="T35" s="271"/>
      <c r="U35" s="258"/>
      <c r="V35" s="287"/>
      <c r="W35" s="274"/>
      <c r="X35" s="277"/>
      <c r="Y35" s="280"/>
      <c r="Z35" s="283"/>
      <c r="AA35" s="286"/>
    </row>
    <row r="36" spans="1:27" s="41" customFormat="1" ht="102.75" customHeight="1" x14ac:dyDescent="0.25">
      <c r="B36" s="256" t="s">
        <v>179</v>
      </c>
      <c r="C36" s="103" t="s">
        <v>267</v>
      </c>
      <c r="D36" s="96">
        <f>ПМД_Вхідні_дані!C61</f>
        <v>0</v>
      </c>
      <c r="E36" s="327">
        <f>IFERROR(D37/D36,0)</f>
        <v>0</v>
      </c>
      <c r="F36" s="253" t="str">
        <f>ПМД_Цільові_значення!D20</f>
        <v>=</v>
      </c>
      <c r="G36" s="298">
        <f>ПМД_Цільові_значення!E20</f>
        <v>2</v>
      </c>
      <c r="H36" s="255">
        <v>0.05</v>
      </c>
      <c r="I36" s="252">
        <f>IF(ПМД_Розрахунки!E36=G36,ПМД_Розрахунки!H36,0)</f>
        <v>0</v>
      </c>
      <c r="K36" s="337" t="s">
        <v>302</v>
      </c>
      <c r="L36" s="119" t="s">
        <v>187</v>
      </c>
      <c r="M36" s="98">
        <f>ПМД_Вхідні_дані!C70</f>
        <v>0</v>
      </c>
      <c r="N36" s="339">
        <f>IFERROR(M36/M37,0)</f>
        <v>0</v>
      </c>
      <c r="O36" s="341" t="str">
        <f>ПМД_Цільові_значення!I20</f>
        <v>&gt;</v>
      </c>
      <c r="P36" s="343">
        <f>ПМД_Цільові_значення!J20</f>
        <v>1.5</v>
      </c>
      <c r="Q36" s="255">
        <v>0.05</v>
      </c>
      <c r="R36" s="252">
        <f>IF(ПМД_Розрахунки!N36&gt;P36,ПМД_Розрахунки!Q36,0)</f>
        <v>0</v>
      </c>
      <c r="T36" s="256" t="s">
        <v>252</v>
      </c>
      <c r="U36" s="258" t="str">
        <f>ПМД_Вхідні_дані!B95</f>
        <v>Частка скарг пацієнтів з виявленими порушеннями (%)</v>
      </c>
      <c r="V36" s="260">
        <f>ПМД_Вхідні_дані!C95</f>
        <v>0</v>
      </c>
      <c r="W36" s="262">
        <f>V36</f>
        <v>0</v>
      </c>
      <c r="X36" s="253" t="str">
        <f>ПМД_Цільові_значення!N20</f>
        <v>=</v>
      </c>
      <c r="Y36" s="265">
        <f>ПМД_Цільові_значення!O20</f>
        <v>0</v>
      </c>
      <c r="Z36" s="255">
        <v>0.05</v>
      </c>
      <c r="AA36" s="252">
        <f>IF(ISBLANK(ПМД_Вхідні_дані!C95),0,IF(ПМД_Розрахунки!W36&gt;Y36,0,ПМД_Розрахунки!Z36))</f>
        <v>0</v>
      </c>
    </row>
    <row r="37" spans="1:27" ht="94.5" customHeight="1" thickBot="1" x14ac:dyDescent="0.3">
      <c r="A37" s="41"/>
      <c r="B37" s="257"/>
      <c r="C37" s="117" t="s">
        <v>124</v>
      </c>
      <c r="D37" s="118">
        <f>ПМД_Вхідні_дані!C56</f>
        <v>0</v>
      </c>
      <c r="E37" s="328"/>
      <c r="F37" s="264"/>
      <c r="G37" s="264"/>
      <c r="H37" s="266"/>
      <c r="I37" s="267"/>
      <c r="K37" s="338"/>
      <c r="L37" s="107" t="str">
        <f>ПМД_Вхідні_дані!B77</f>
        <v>Середньомісячна заробітна плата працівників ПМД по регіону (грн)</v>
      </c>
      <c r="M37" s="108">
        <f>ПМД_Вхідні_дані!C77</f>
        <v>0</v>
      </c>
      <c r="N37" s="340"/>
      <c r="O37" s="342"/>
      <c r="P37" s="342"/>
      <c r="Q37" s="266"/>
      <c r="R37" s="267"/>
      <c r="T37" s="257"/>
      <c r="U37" s="259"/>
      <c r="V37" s="261"/>
      <c r="W37" s="263"/>
      <c r="X37" s="264"/>
      <c r="Y37" s="264"/>
      <c r="Z37" s="266"/>
      <c r="AA37" s="267"/>
    </row>
    <row r="38" spans="1:27" x14ac:dyDescent="0.25">
      <c r="B38" s="13"/>
      <c r="C38" s="13"/>
      <c r="D38" s="13"/>
      <c r="E38" s="13"/>
      <c r="F38" s="13"/>
      <c r="G38" s="13"/>
      <c r="H38" s="13"/>
    </row>
  </sheetData>
  <mergeCells count="193">
    <mergeCell ref="K36:K37"/>
    <mergeCell ref="N36:N37"/>
    <mergeCell ref="O36:O37"/>
    <mergeCell ref="P36:P37"/>
    <mergeCell ref="Q36:Q37"/>
    <mergeCell ref="R36:R37"/>
    <mergeCell ref="N32:N35"/>
    <mergeCell ref="K32:K35"/>
    <mergeCell ref="O32:O33"/>
    <mergeCell ref="P32:P33"/>
    <mergeCell ref="O34:O35"/>
    <mergeCell ref="P34:P35"/>
    <mergeCell ref="Q32:Q35"/>
    <mergeCell ref="R32:R35"/>
    <mergeCell ref="B30:B31"/>
    <mergeCell ref="E30:E31"/>
    <mergeCell ref="F30:F31"/>
    <mergeCell ref="G30:G31"/>
    <mergeCell ref="H30:H31"/>
    <mergeCell ref="I30:I31"/>
    <mergeCell ref="B28:B29"/>
    <mergeCell ref="T28:T29"/>
    <mergeCell ref="W28:W29"/>
    <mergeCell ref="R28:R29"/>
    <mergeCell ref="K30:K31"/>
    <mergeCell ref="N30:N31"/>
    <mergeCell ref="O30:O31"/>
    <mergeCell ref="P30:P31"/>
    <mergeCell ref="Q30:Q31"/>
    <mergeCell ref="R30:R31"/>
    <mergeCell ref="K28:K29"/>
    <mergeCell ref="N28:N29"/>
    <mergeCell ref="O28:O29"/>
    <mergeCell ref="B36:B37"/>
    <mergeCell ref="E36:E37"/>
    <mergeCell ref="F36:F37"/>
    <mergeCell ref="G36:G37"/>
    <mergeCell ref="H36:H37"/>
    <mergeCell ref="I36:I37"/>
    <mergeCell ref="B32:B35"/>
    <mergeCell ref="E32:E35"/>
    <mergeCell ref="F32:F35"/>
    <mergeCell ref="G32:G35"/>
    <mergeCell ref="H32:H35"/>
    <mergeCell ref="I32:I35"/>
    <mergeCell ref="C32:C33"/>
    <mergeCell ref="C34:C35"/>
    <mergeCell ref="D32:D33"/>
    <mergeCell ref="D34:D35"/>
    <mergeCell ref="C26:D27"/>
    <mergeCell ref="E26:E27"/>
    <mergeCell ref="F26:G27"/>
    <mergeCell ref="L26:M27"/>
    <mergeCell ref="N26:N27"/>
    <mergeCell ref="O26:P27"/>
    <mergeCell ref="U26:V27"/>
    <mergeCell ref="W26:W27"/>
    <mergeCell ref="X26:Y27"/>
    <mergeCell ref="Z19:Z21"/>
    <mergeCell ref="AA19:AA21"/>
    <mergeCell ref="T19:T21"/>
    <mergeCell ref="K19:K21"/>
    <mergeCell ref="L20:L21"/>
    <mergeCell ref="M20:M21"/>
    <mergeCell ref="O19:O21"/>
    <mergeCell ref="P19:P21"/>
    <mergeCell ref="E28:E29"/>
    <mergeCell ref="F28:F29"/>
    <mergeCell ref="G28:G29"/>
    <mergeCell ref="H28:H29"/>
    <mergeCell ref="Y22:Y24"/>
    <mergeCell ref="Z22:Z24"/>
    <mergeCell ref="AA22:AA24"/>
    <mergeCell ref="T22:T24"/>
    <mergeCell ref="U23:U24"/>
    <mergeCell ref="V23:V24"/>
    <mergeCell ref="W22:W24"/>
    <mergeCell ref="X22:X24"/>
    <mergeCell ref="AA28:AA29"/>
    <mergeCell ref="P28:P29"/>
    <mergeCell ref="Q28:Q29"/>
    <mergeCell ref="I28:I29"/>
    <mergeCell ref="B19:B21"/>
    <mergeCell ref="C20:C21"/>
    <mergeCell ref="D20:D21"/>
    <mergeCell ref="E19:E21"/>
    <mergeCell ref="F19:F21"/>
    <mergeCell ref="G19:G21"/>
    <mergeCell ref="H19:H21"/>
    <mergeCell ref="I19:I21"/>
    <mergeCell ref="N19:N21"/>
    <mergeCell ref="Z14:Z15"/>
    <mergeCell ref="AA14:AA15"/>
    <mergeCell ref="U17:U18"/>
    <mergeCell ref="T16:T18"/>
    <mergeCell ref="V17:V18"/>
    <mergeCell ref="W16:W18"/>
    <mergeCell ref="X16:X18"/>
    <mergeCell ref="Y16:Y18"/>
    <mergeCell ref="Z16:Z18"/>
    <mergeCell ref="AA16:AA18"/>
    <mergeCell ref="X12:Y13"/>
    <mergeCell ref="X14:X15"/>
    <mergeCell ref="K22:K24"/>
    <mergeCell ref="Q22:Q24"/>
    <mergeCell ref="R22:R24"/>
    <mergeCell ref="N22:N24"/>
    <mergeCell ref="P22:P24"/>
    <mergeCell ref="O22:O24"/>
    <mergeCell ref="Q19:Q21"/>
    <mergeCell ref="R19:R21"/>
    <mergeCell ref="Q14:Q15"/>
    <mergeCell ref="R14:R15"/>
    <mergeCell ref="K16:K18"/>
    <mergeCell ref="N16:N18"/>
    <mergeCell ref="P17:P18"/>
    <mergeCell ref="Q16:Q18"/>
    <mergeCell ref="R16:R18"/>
    <mergeCell ref="W19:W21"/>
    <mergeCell ref="X20:X21"/>
    <mergeCell ref="Y20:Y21"/>
    <mergeCell ref="B1:AB1"/>
    <mergeCell ref="B26:B27"/>
    <mergeCell ref="K26:K27"/>
    <mergeCell ref="T26:T27"/>
    <mergeCell ref="B12:B13"/>
    <mergeCell ref="K12:K13"/>
    <mergeCell ref="T12:T13"/>
    <mergeCell ref="B7:B8"/>
    <mergeCell ref="E12:E13"/>
    <mergeCell ref="B3:AA3"/>
    <mergeCell ref="O14:O15"/>
    <mergeCell ref="O17:O18"/>
    <mergeCell ref="L12:M13"/>
    <mergeCell ref="N12:N13"/>
    <mergeCell ref="K14:K15"/>
    <mergeCell ref="N14:N15"/>
    <mergeCell ref="P14:P15"/>
    <mergeCell ref="O12:P13"/>
    <mergeCell ref="B22:B24"/>
    <mergeCell ref="E22:E24"/>
    <mergeCell ref="H22:H24"/>
    <mergeCell ref="G22:G24"/>
    <mergeCell ref="I22:I24"/>
    <mergeCell ref="C23:C24"/>
    <mergeCell ref="X28:X29"/>
    <mergeCell ref="Y28:Y29"/>
    <mergeCell ref="Z28:Z29"/>
    <mergeCell ref="F16:F18"/>
    <mergeCell ref="B14:B15"/>
    <mergeCell ref="C12:D13"/>
    <mergeCell ref="G14:G15"/>
    <mergeCell ref="E14:E15"/>
    <mergeCell ref="F12:G13"/>
    <mergeCell ref="D23:D24"/>
    <mergeCell ref="F22:F24"/>
    <mergeCell ref="H14:H15"/>
    <mergeCell ref="I14:I15"/>
    <mergeCell ref="B16:B18"/>
    <mergeCell ref="E16:E18"/>
    <mergeCell ref="G16:G18"/>
    <mergeCell ref="H16:H18"/>
    <mergeCell ref="I16:I18"/>
    <mergeCell ref="F14:F15"/>
    <mergeCell ref="U12:V13"/>
    <mergeCell ref="W12:W13"/>
    <mergeCell ref="T14:T15"/>
    <mergeCell ref="W14:W15"/>
    <mergeCell ref="Y14:Y15"/>
    <mergeCell ref="AA30:AA31"/>
    <mergeCell ref="X30:X31"/>
    <mergeCell ref="Y30:Y31"/>
    <mergeCell ref="Z30:Z31"/>
    <mergeCell ref="T36:T37"/>
    <mergeCell ref="U36:U37"/>
    <mergeCell ref="V36:V37"/>
    <mergeCell ref="W36:W37"/>
    <mergeCell ref="X36:X37"/>
    <mergeCell ref="Y36:Y37"/>
    <mergeCell ref="Z36:Z37"/>
    <mergeCell ref="AA36:AA37"/>
    <mergeCell ref="T30:T31"/>
    <mergeCell ref="W30:W31"/>
    <mergeCell ref="T32:T35"/>
    <mergeCell ref="W32:W35"/>
    <mergeCell ref="X32:X35"/>
    <mergeCell ref="Y32:Y35"/>
    <mergeCell ref="Z32:Z35"/>
    <mergeCell ref="AA32:AA35"/>
    <mergeCell ref="U32:U33"/>
    <mergeCell ref="V32:V33"/>
    <mergeCell ref="U34:U35"/>
    <mergeCell ref="V34:V35"/>
  </mergeCells>
  <conditionalFormatting sqref="I14:I16">
    <cfRule type="cellIs" dxfId="49" priority="33" operator="greaterThan">
      <formula>0</formula>
    </cfRule>
    <cfRule type="cellIs" dxfId="48" priority="34" operator="equal">
      <formula>0</formula>
    </cfRule>
  </conditionalFormatting>
  <conditionalFormatting sqref="I19">
    <cfRule type="cellIs" dxfId="47" priority="31" operator="greaterThan">
      <formula>0</formula>
    </cfRule>
    <cfRule type="cellIs" dxfId="46" priority="32" operator="equal">
      <formula>0</formula>
    </cfRule>
  </conditionalFormatting>
  <conditionalFormatting sqref="I22:I23">
    <cfRule type="cellIs" dxfId="45" priority="29" operator="greaterThan">
      <formula>0</formula>
    </cfRule>
    <cfRule type="cellIs" dxfId="44" priority="30" operator="equal">
      <formula>0</formula>
    </cfRule>
  </conditionalFormatting>
  <conditionalFormatting sqref="I28:I32 I36:I37">
    <cfRule type="cellIs" dxfId="43" priority="13" operator="greaterThan">
      <formula>0</formula>
    </cfRule>
    <cfRule type="cellIs" dxfId="42" priority="14" operator="equal">
      <formula>0</formula>
    </cfRule>
  </conditionalFormatting>
  <conditionalFormatting sqref="R14:R16">
    <cfRule type="cellIs" dxfId="41" priority="27" operator="greaterThan">
      <formula>0</formula>
    </cfRule>
    <cfRule type="cellIs" dxfId="40" priority="28" operator="equal">
      <formula>0</formula>
    </cfRule>
  </conditionalFormatting>
  <conditionalFormatting sqref="R19">
    <cfRule type="cellIs" dxfId="39" priority="25" operator="greaterThan">
      <formula>0</formula>
    </cfRule>
    <cfRule type="cellIs" dxfId="38" priority="26" operator="equal">
      <formula>0</formula>
    </cfRule>
  </conditionalFormatting>
  <conditionalFormatting sqref="R22">
    <cfRule type="cellIs" dxfId="37" priority="23" operator="greaterThan">
      <formula>0</formula>
    </cfRule>
    <cfRule type="cellIs" dxfId="36" priority="24" operator="equal">
      <formula>0</formula>
    </cfRule>
  </conditionalFormatting>
  <conditionalFormatting sqref="R28:R32">
    <cfRule type="cellIs" dxfId="35" priority="9" operator="greaterThan">
      <formula>0</formula>
    </cfRule>
    <cfRule type="cellIs" dxfId="34" priority="10" operator="equal">
      <formula>0</formula>
    </cfRule>
  </conditionalFormatting>
  <conditionalFormatting sqref="R36:R37">
    <cfRule type="cellIs" dxfId="33" priority="7" operator="greaterThan">
      <formula>0</formula>
    </cfRule>
    <cfRule type="cellIs" dxfId="32" priority="8" operator="equal">
      <formula>0</formula>
    </cfRule>
  </conditionalFormatting>
  <conditionalFormatting sqref="AA14:AA16">
    <cfRule type="cellIs" dxfId="31" priority="19" operator="greaterThan">
      <formula>0</formula>
    </cfRule>
    <cfRule type="cellIs" dxfId="30" priority="20" operator="equal">
      <formula>0</formula>
    </cfRule>
  </conditionalFormatting>
  <conditionalFormatting sqref="AA19">
    <cfRule type="cellIs" dxfId="29" priority="17" operator="greaterThan">
      <formula>0</formula>
    </cfRule>
    <cfRule type="cellIs" dxfId="28" priority="18" operator="equal">
      <formula>0</formula>
    </cfRule>
  </conditionalFormatting>
  <conditionalFormatting sqref="AA22">
    <cfRule type="cellIs" dxfId="27" priority="15" operator="greaterThan">
      <formula>0</formula>
    </cfRule>
    <cfRule type="cellIs" dxfId="26" priority="16" operator="equal">
      <formula>0</formula>
    </cfRule>
  </conditionalFormatting>
  <conditionalFormatting sqref="AA28:AA32">
    <cfRule type="cellIs" dxfId="25" priority="3" operator="greaterThan">
      <formula>0</formula>
    </cfRule>
    <cfRule type="cellIs" dxfId="24" priority="4" operator="equal">
      <formula>0</formula>
    </cfRule>
  </conditionalFormatting>
  <conditionalFormatting sqref="AA36:AA37">
    <cfRule type="cellIs" dxfId="23" priority="1" operator="greaterThan">
      <formula>0</formula>
    </cfRule>
    <cfRule type="cellIs" dxfId="22" priority="2" operator="equal">
      <formula>0</formula>
    </cfRule>
  </conditionalFormatting>
  <pageMargins left="0.7" right="0.7" top="0.75" bottom="0.75" header="0.3" footer="0.3"/>
  <ignoredErrors>
    <ignoredError sqref="C15 C29:D29" 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4C1E2-0027-4657-B363-F04E87A1F3C2}">
  <sheetPr>
    <tabColor rgb="FFFFFF00"/>
  </sheetPr>
  <dimension ref="B1:M88"/>
  <sheetViews>
    <sheetView workbookViewId="0">
      <selection activeCell="B5" sqref="B5:C11"/>
    </sheetView>
  </sheetViews>
  <sheetFormatPr defaultRowHeight="15.75" x14ac:dyDescent="0.25"/>
  <cols>
    <col min="1" max="1" width="9.140625" style="1"/>
    <col min="2" max="2" width="50.28515625" style="1" customWidth="1"/>
    <col min="3" max="3" width="30.85546875" style="27" customWidth="1"/>
    <col min="4" max="4" width="43.5703125" style="24" customWidth="1"/>
    <col min="5" max="8" width="9.140625" style="1"/>
    <col min="9" max="9" width="16.140625" style="1" customWidth="1"/>
    <col min="10" max="10" width="31.42578125" style="1" customWidth="1"/>
    <col min="11" max="16384" width="9.140625" style="1"/>
  </cols>
  <sheetData>
    <row r="1" spans="2:13" s="12" customFormat="1" x14ac:dyDescent="0.25">
      <c r="B1" s="344" t="s">
        <v>86</v>
      </c>
      <c r="C1" s="344"/>
      <c r="D1" s="344"/>
      <c r="E1" s="344"/>
      <c r="F1" s="344"/>
      <c r="G1" s="344"/>
      <c r="H1" s="344"/>
      <c r="I1" s="344"/>
      <c r="J1" s="344"/>
      <c r="K1" s="344"/>
      <c r="L1" s="344"/>
      <c r="M1" s="344"/>
    </row>
    <row r="2" spans="2:13" ht="9.75" customHeight="1" thickBot="1" x14ac:dyDescent="0.3"/>
    <row r="3" spans="2:13" s="2" customFormat="1" ht="31.5" customHeight="1" thickTop="1" thickBot="1" x14ac:dyDescent="0.35">
      <c r="B3" s="201" t="s">
        <v>76</v>
      </c>
      <c r="C3" s="202"/>
      <c r="D3" s="203"/>
      <c r="E3" s="4"/>
      <c r="F3" s="4"/>
      <c r="G3" s="4"/>
      <c r="H3" s="4"/>
      <c r="I3" s="4"/>
      <c r="J3" s="4"/>
    </row>
    <row r="4" spans="2:13" ht="17.25" thickTop="1" thickBot="1" x14ac:dyDescent="0.3"/>
    <row r="5" spans="2:13" ht="25.5" customHeight="1" x14ac:dyDescent="0.25">
      <c r="B5" s="161" t="s">
        <v>7</v>
      </c>
      <c r="C5" s="175"/>
    </row>
    <row r="6" spans="2:13" ht="38.25" customHeight="1" x14ac:dyDescent="0.25">
      <c r="B6" s="164" t="s">
        <v>262</v>
      </c>
      <c r="C6" s="128"/>
    </row>
    <row r="7" spans="2:13" ht="38.25" customHeight="1" x14ac:dyDescent="0.25">
      <c r="B7" s="162" t="s">
        <v>263</v>
      </c>
      <c r="C7" s="20"/>
    </row>
    <row r="8" spans="2:13" ht="73.5" customHeight="1" x14ac:dyDescent="0.25">
      <c r="B8" s="162" t="s">
        <v>264</v>
      </c>
      <c r="C8" s="163"/>
    </row>
    <row r="9" spans="2:13" ht="37.5" customHeight="1" x14ac:dyDescent="0.25">
      <c r="B9" s="164" t="s">
        <v>304</v>
      </c>
      <c r="C9" s="404"/>
    </row>
    <row r="10" spans="2:13" ht="39" customHeight="1" x14ac:dyDescent="0.25">
      <c r="B10" s="144" t="s">
        <v>265</v>
      </c>
      <c r="C10" s="157"/>
    </row>
    <row r="11" spans="2:13" ht="45" customHeight="1" thickBot="1" x14ac:dyDescent="0.3">
      <c r="B11" s="160" t="s">
        <v>261</v>
      </c>
      <c r="C11" s="165">
        <f>IFERROR(LOOKUP(C10,tech!B1:B3,tech!C1:C3),0)</f>
        <v>0</v>
      </c>
    </row>
    <row r="12" spans="2:13" ht="16.5" thickBot="1" x14ac:dyDescent="0.3"/>
    <row r="13" spans="2:13" ht="35.25" customHeight="1" x14ac:dyDescent="0.25">
      <c r="B13" s="204" t="s">
        <v>158</v>
      </c>
      <c r="C13" s="205"/>
      <c r="D13" s="206"/>
    </row>
    <row r="14" spans="2:13" ht="43.5" customHeight="1" x14ac:dyDescent="0.25">
      <c r="B14" s="135" t="s">
        <v>0</v>
      </c>
      <c r="C14" s="16" t="s">
        <v>46</v>
      </c>
      <c r="D14" s="136" t="s">
        <v>51</v>
      </c>
    </row>
    <row r="15" spans="2:13" ht="33.75" customHeight="1" x14ac:dyDescent="0.25">
      <c r="B15" s="144" t="s">
        <v>49</v>
      </c>
      <c r="C15" s="25">
        <f>SUM(C16:C19)</f>
        <v>0</v>
      </c>
      <c r="D15" s="93" t="s">
        <v>93</v>
      </c>
    </row>
    <row r="16" spans="2:13" ht="41.25" customHeight="1" x14ac:dyDescent="0.25">
      <c r="B16" s="146" t="s">
        <v>287</v>
      </c>
      <c r="C16" s="25"/>
      <c r="D16" s="93" t="s">
        <v>94</v>
      </c>
    </row>
    <row r="17" spans="2:4" ht="41.25" customHeight="1" x14ac:dyDescent="0.25">
      <c r="B17" s="146" t="s">
        <v>77</v>
      </c>
      <c r="C17" s="25"/>
      <c r="D17" s="93" t="s">
        <v>70</v>
      </c>
    </row>
    <row r="18" spans="2:4" ht="41.25" customHeight="1" x14ac:dyDescent="0.25">
      <c r="B18" s="146" t="s">
        <v>266</v>
      </c>
      <c r="C18" s="25"/>
      <c r="D18" s="93" t="s">
        <v>93</v>
      </c>
    </row>
    <row r="19" spans="2:4" ht="41.25" customHeight="1" x14ac:dyDescent="0.25">
      <c r="B19" s="146" t="s">
        <v>221</v>
      </c>
      <c r="C19" s="25"/>
      <c r="D19" s="93" t="s">
        <v>93</v>
      </c>
    </row>
    <row r="20" spans="2:4" ht="41.25" customHeight="1" x14ac:dyDescent="0.25">
      <c r="B20" s="144" t="s">
        <v>104</v>
      </c>
      <c r="C20" s="25"/>
      <c r="D20" s="93" t="s">
        <v>109</v>
      </c>
    </row>
    <row r="21" spans="2:4" ht="41.25" customHeight="1" thickBot="1" x14ac:dyDescent="0.3">
      <c r="B21" s="23" t="s">
        <v>103</v>
      </c>
      <c r="C21" s="94"/>
      <c r="D21" s="95" t="s">
        <v>109</v>
      </c>
    </row>
    <row r="22" spans="2:4" ht="21" customHeight="1" thickBot="1" x14ac:dyDescent="0.3"/>
    <row r="23" spans="2:4" ht="34.5" customHeight="1" x14ac:dyDescent="0.25">
      <c r="B23" s="204" t="s">
        <v>167</v>
      </c>
      <c r="C23" s="205"/>
      <c r="D23" s="206"/>
    </row>
    <row r="24" spans="2:4" ht="41.25" customHeight="1" x14ac:dyDescent="0.25">
      <c r="B24" s="135" t="s">
        <v>0</v>
      </c>
      <c r="C24" s="16" t="s">
        <v>46</v>
      </c>
      <c r="D24" s="136" t="s">
        <v>51</v>
      </c>
    </row>
    <row r="25" spans="2:4" ht="41.25" customHeight="1" x14ac:dyDescent="0.25">
      <c r="B25" s="115" t="s">
        <v>105</v>
      </c>
      <c r="C25" s="25"/>
      <c r="D25" s="93" t="s">
        <v>93</v>
      </c>
    </row>
    <row r="26" spans="2:4" ht="41.25" customHeight="1" x14ac:dyDescent="0.25">
      <c r="B26" s="144" t="s">
        <v>132</v>
      </c>
      <c r="C26" s="25"/>
      <c r="D26" s="93" t="s">
        <v>110</v>
      </c>
    </row>
    <row r="27" spans="2:4" ht="48" customHeight="1" x14ac:dyDescent="0.25">
      <c r="B27" s="144" t="s">
        <v>118</v>
      </c>
      <c r="C27" s="25"/>
      <c r="D27" s="93" t="s">
        <v>70</v>
      </c>
    </row>
    <row r="28" spans="2:4" ht="51" customHeight="1" x14ac:dyDescent="0.25">
      <c r="B28" s="144" t="s">
        <v>246</v>
      </c>
      <c r="C28" s="25"/>
      <c r="D28" s="93" t="s">
        <v>70</v>
      </c>
    </row>
    <row r="29" spans="2:4" ht="51" customHeight="1" x14ac:dyDescent="0.25">
      <c r="B29" s="144" t="s">
        <v>245</v>
      </c>
      <c r="C29" s="25">
        <f>C11</f>
        <v>0</v>
      </c>
      <c r="D29" s="93" t="s">
        <v>243</v>
      </c>
    </row>
    <row r="30" spans="2:4" ht="49.5" customHeight="1" x14ac:dyDescent="0.25">
      <c r="B30" s="144" t="s">
        <v>106</v>
      </c>
      <c r="C30" s="25"/>
      <c r="D30" s="93" t="s">
        <v>107</v>
      </c>
    </row>
    <row r="31" spans="2:4" ht="49.5" customHeight="1" x14ac:dyDescent="0.25">
      <c r="B31" s="144" t="s">
        <v>112</v>
      </c>
      <c r="C31" s="25"/>
      <c r="D31" s="93" t="s">
        <v>108</v>
      </c>
    </row>
    <row r="32" spans="2:4" ht="49.5" customHeight="1" x14ac:dyDescent="0.25">
      <c r="B32" s="144" t="str">
        <f>B15</f>
        <v>Загальні доходи закладу (грн)</v>
      </c>
      <c r="C32" s="22">
        <f>C15</f>
        <v>0</v>
      </c>
      <c r="D32" s="93" t="str">
        <f t="shared" ref="D32" si="0">D15</f>
        <v>Звітність закладу
1нс, таблиця 4</v>
      </c>
    </row>
    <row r="33" spans="2:4" ht="49.5" customHeight="1" x14ac:dyDescent="0.25">
      <c r="B33" s="147" t="s">
        <v>56</v>
      </c>
      <c r="C33" s="25"/>
      <c r="D33" s="93" t="s">
        <v>107</v>
      </c>
    </row>
    <row r="34" spans="2:4" ht="49.5" customHeight="1" thickBot="1" x14ac:dyDescent="0.3">
      <c r="B34" s="23" t="s">
        <v>57</v>
      </c>
      <c r="C34" s="94"/>
      <c r="D34" s="95" t="s">
        <v>70</v>
      </c>
    </row>
    <row r="35" spans="2:4" ht="19.5" customHeight="1" thickBot="1" x14ac:dyDescent="0.3"/>
    <row r="36" spans="2:4" ht="37.5" customHeight="1" x14ac:dyDescent="0.25">
      <c r="B36" s="204" t="s">
        <v>175</v>
      </c>
      <c r="C36" s="205"/>
      <c r="D36" s="206"/>
    </row>
    <row r="37" spans="2:4" ht="49.5" customHeight="1" x14ac:dyDescent="0.25">
      <c r="B37" s="135" t="s">
        <v>0</v>
      </c>
      <c r="C37" s="16" t="s">
        <v>46</v>
      </c>
      <c r="D37" s="136" t="s">
        <v>51</v>
      </c>
    </row>
    <row r="38" spans="2:4" ht="49.5" customHeight="1" x14ac:dyDescent="0.25">
      <c r="B38" s="144" t="str">
        <f>B15</f>
        <v>Загальні доходи закладу (грн)</v>
      </c>
      <c r="C38" s="22">
        <f t="shared" ref="C38:D38" si="1">C15</f>
        <v>0</v>
      </c>
      <c r="D38" s="93" t="str">
        <f t="shared" si="1"/>
        <v>Звітність закладу
1нс, таблиця 4</v>
      </c>
    </row>
    <row r="39" spans="2:4" ht="49.5" customHeight="1" x14ac:dyDescent="0.25">
      <c r="B39" s="144" t="str">
        <f>B30</f>
        <v>Сума загальних витрат закладу (грн)</v>
      </c>
      <c r="C39" s="22">
        <f>C30</f>
        <v>0</v>
      </c>
      <c r="D39" s="93" t="str">
        <f t="shared" ref="D39" si="2">D30</f>
        <v>Звітність закладу
1нс, таблиця 6</v>
      </c>
    </row>
    <row r="40" spans="2:4" ht="49.5" customHeight="1" x14ac:dyDescent="0.25">
      <c r="B40" s="144" t="s">
        <v>151</v>
      </c>
      <c r="C40" s="25"/>
      <c r="D40" s="93" t="s">
        <v>109</v>
      </c>
    </row>
    <row r="41" spans="2:4" ht="49.5" customHeight="1" x14ac:dyDescent="0.25">
      <c r="B41" s="144" t="s">
        <v>152</v>
      </c>
      <c r="C41" s="25"/>
      <c r="D41" s="93" t="s">
        <v>109</v>
      </c>
    </row>
    <row r="42" spans="2:4" ht="49.5" customHeight="1" x14ac:dyDescent="0.25">
      <c r="B42" s="144" t="s">
        <v>119</v>
      </c>
      <c r="C42" s="25"/>
      <c r="D42" s="93" t="s">
        <v>109</v>
      </c>
    </row>
    <row r="43" spans="2:4" ht="49.5" customHeight="1" x14ac:dyDescent="0.25">
      <c r="B43" s="144" t="s">
        <v>120</v>
      </c>
      <c r="C43" s="25"/>
      <c r="D43" s="93" t="s">
        <v>109</v>
      </c>
    </row>
    <row r="44" spans="2:4" ht="35.25" customHeight="1" x14ac:dyDescent="0.25">
      <c r="B44" s="144" t="s">
        <v>121</v>
      </c>
      <c r="C44" s="25"/>
      <c r="D44" s="93" t="s">
        <v>109</v>
      </c>
    </row>
    <row r="45" spans="2:4" ht="35.25" customHeight="1" thickBot="1" x14ac:dyDescent="0.3">
      <c r="B45" s="23" t="s">
        <v>150</v>
      </c>
      <c r="C45" s="94"/>
      <c r="D45" s="95" t="s">
        <v>109</v>
      </c>
    </row>
    <row r="46" spans="2:4" ht="21.75" customHeight="1" thickBot="1" x14ac:dyDescent="0.3">
      <c r="C46" s="1"/>
      <c r="D46" s="1"/>
    </row>
    <row r="47" spans="2:4" ht="39.75" customHeight="1" x14ac:dyDescent="0.25">
      <c r="B47" s="204" t="s">
        <v>180</v>
      </c>
      <c r="C47" s="205"/>
      <c r="D47" s="206"/>
    </row>
    <row r="48" spans="2:4" ht="48.75" customHeight="1" x14ac:dyDescent="0.25">
      <c r="B48" s="135" t="s">
        <v>0</v>
      </c>
      <c r="C48" s="16" t="s">
        <v>46</v>
      </c>
      <c r="D48" s="136" t="s">
        <v>51</v>
      </c>
    </row>
    <row r="49" spans="2:7" ht="42" customHeight="1" x14ac:dyDescent="0.25">
      <c r="B49" s="144" t="s">
        <v>53</v>
      </c>
      <c r="C49" s="25">
        <f>C50+C51+C52+C53+C54+C55</f>
        <v>0</v>
      </c>
      <c r="D49" s="93" t="s">
        <v>70</v>
      </c>
    </row>
    <row r="50" spans="2:7" ht="40.5" customHeight="1" x14ac:dyDescent="0.25">
      <c r="B50" s="146" t="s">
        <v>225</v>
      </c>
      <c r="C50" s="25"/>
      <c r="D50" s="93" t="s">
        <v>70</v>
      </c>
    </row>
    <row r="51" spans="2:7" ht="40.5" customHeight="1" x14ac:dyDescent="0.25">
      <c r="B51" s="146" t="s">
        <v>300</v>
      </c>
      <c r="C51" s="25"/>
      <c r="D51" s="93" t="s">
        <v>70</v>
      </c>
    </row>
    <row r="52" spans="2:7" ht="40.5" customHeight="1" x14ac:dyDescent="0.25">
      <c r="B52" s="146" t="s">
        <v>229</v>
      </c>
      <c r="C52" s="25"/>
      <c r="D52" s="93" t="s">
        <v>70</v>
      </c>
    </row>
    <row r="53" spans="2:7" ht="40.5" customHeight="1" x14ac:dyDescent="0.25">
      <c r="B53" s="146" t="s">
        <v>223</v>
      </c>
      <c r="C53" s="25"/>
      <c r="D53" s="93" t="s">
        <v>70</v>
      </c>
    </row>
    <row r="54" spans="2:7" ht="40.5" customHeight="1" x14ac:dyDescent="0.25">
      <c r="B54" s="146" t="s">
        <v>226</v>
      </c>
      <c r="C54" s="25"/>
      <c r="D54" s="93" t="s">
        <v>70</v>
      </c>
    </row>
    <row r="55" spans="2:7" ht="40.5" customHeight="1" x14ac:dyDescent="0.25">
      <c r="B55" s="146" t="s">
        <v>227</v>
      </c>
      <c r="C55" s="25"/>
      <c r="D55" s="93" t="s">
        <v>70</v>
      </c>
    </row>
    <row r="56" spans="2:7" ht="48.75" customHeight="1" x14ac:dyDescent="0.25">
      <c r="B56" s="146" t="s">
        <v>52</v>
      </c>
      <c r="C56" s="25"/>
      <c r="D56" s="93" t="s">
        <v>70</v>
      </c>
    </row>
    <row r="57" spans="2:7" ht="37.5" customHeight="1" x14ac:dyDescent="0.25">
      <c r="B57" s="146" t="s">
        <v>54</v>
      </c>
      <c r="C57" s="25"/>
      <c r="D57" s="93" t="s">
        <v>70</v>
      </c>
      <c r="G57" s="15"/>
    </row>
    <row r="58" spans="2:7" ht="35.25" customHeight="1" x14ac:dyDescent="0.25">
      <c r="B58" s="146" t="s">
        <v>79</v>
      </c>
      <c r="C58" s="25"/>
      <c r="D58" s="93" t="s">
        <v>70</v>
      </c>
      <c r="G58" s="15"/>
    </row>
    <row r="59" spans="2:7" ht="46.5" customHeight="1" thickBot="1" x14ac:dyDescent="0.3">
      <c r="B59" s="23" t="s">
        <v>78</v>
      </c>
      <c r="C59" s="94"/>
      <c r="D59" s="95" t="s">
        <v>70</v>
      </c>
      <c r="E59" s="14"/>
      <c r="F59" s="14"/>
      <c r="G59" s="15"/>
    </row>
    <row r="60" spans="2:7" ht="21" customHeight="1" thickBot="1" x14ac:dyDescent="0.3">
      <c r="E60" s="14"/>
      <c r="F60" s="14"/>
      <c r="G60" s="15"/>
    </row>
    <row r="61" spans="2:7" ht="38.25" customHeight="1" x14ac:dyDescent="0.25">
      <c r="B61" s="197" t="s">
        <v>184</v>
      </c>
      <c r="C61" s="198"/>
      <c r="D61" s="199"/>
    </row>
    <row r="62" spans="2:7" ht="39" customHeight="1" x14ac:dyDescent="0.25">
      <c r="B62" s="135" t="s">
        <v>0</v>
      </c>
      <c r="C62" s="16" t="s">
        <v>46</v>
      </c>
      <c r="D62" s="136" t="s">
        <v>51</v>
      </c>
    </row>
    <row r="63" spans="2:7" ht="40.5" customHeight="1" x14ac:dyDescent="0.25">
      <c r="B63" s="176" t="s">
        <v>130</v>
      </c>
      <c r="C63" s="345"/>
      <c r="D63" s="346"/>
    </row>
    <row r="64" spans="2:7" ht="37.5" customHeight="1" x14ac:dyDescent="0.25">
      <c r="B64" s="146" t="s">
        <v>60</v>
      </c>
      <c r="C64" s="39"/>
      <c r="D64" s="93" t="s">
        <v>131</v>
      </c>
    </row>
    <row r="65" spans="2:4" ht="37.5" customHeight="1" x14ac:dyDescent="0.25">
      <c r="B65" s="146" t="s">
        <v>216</v>
      </c>
      <c r="C65" s="39"/>
      <c r="D65" s="93" t="s">
        <v>131</v>
      </c>
    </row>
    <row r="66" spans="2:4" ht="37.5" customHeight="1" x14ac:dyDescent="0.25">
      <c r="B66" s="146" t="s">
        <v>217</v>
      </c>
      <c r="C66" s="39"/>
      <c r="D66" s="93" t="s">
        <v>131</v>
      </c>
    </row>
    <row r="67" spans="2:4" ht="39.75" customHeight="1" x14ac:dyDescent="0.25">
      <c r="B67" s="146" t="s">
        <v>80</v>
      </c>
      <c r="C67" s="39"/>
      <c r="D67" s="93" t="s">
        <v>131</v>
      </c>
    </row>
    <row r="68" spans="2:4" ht="37.5" customHeight="1" x14ac:dyDescent="0.25">
      <c r="B68" s="146" t="s">
        <v>59</v>
      </c>
      <c r="C68" s="39"/>
      <c r="D68" s="93" t="s">
        <v>131</v>
      </c>
    </row>
    <row r="69" spans="2:4" ht="37.5" customHeight="1" x14ac:dyDescent="0.25">
      <c r="B69" s="146" t="s">
        <v>208</v>
      </c>
      <c r="C69" s="39"/>
      <c r="D69" s="93" t="s">
        <v>131</v>
      </c>
    </row>
    <row r="70" spans="2:4" ht="37.5" customHeight="1" x14ac:dyDescent="0.25">
      <c r="B70" s="146" t="s">
        <v>228</v>
      </c>
      <c r="C70" s="39"/>
      <c r="D70" s="93" t="s">
        <v>131</v>
      </c>
    </row>
    <row r="71" spans="2:4" ht="63.75" customHeight="1" x14ac:dyDescent="0.25">
      <c r="B71" s="144" t="s">
        <v>273</v>
      </c>
      <c r="C71" s="22">
        <f>IFERROR(INDEX(tech!B12:E14,MATCH(C8,tech!B12:B14,0),2),0)</f>
        <v>0</v>
      </c>
      <c r="D71" s="93" t="s">
        <v>188</v>
      </c>
    </row>
    <row r="72" spans="2:4" ht="80.25" customHeight="1" x14ac:dyDescent="0.25">
      <c r="B72" s="144" t="s">
        <v>274</v>
      </c>
      <c r="C72" s="22">
        <f>IFERROR(INDEX(tech!B12:E14,MATCH(C8,tech!B12:B14,0),3),0)</f>
        <v>0</v>
      </c>
      <c r="D72" s="93" t="s">
        <v>188</v>
      </c>
    </row>
    <row r="73" spans="2:4" ht="72" customHeight="1" x14ac:dyDescent="0.25">
      <c r="B73" s="144" t="s">
        <v>301</v>
      </c>
      <c r="C73" s="22">
        <f>IFERROR(INDEX(tech!B12:E14,MATCH(C8,tech!B12:B14,0),4),0)</f>
        <v>0</v>
      </c>
      <c r="D73" s="93" t="s">
        <v>188</v>
      </c>
    </row>
    <row r="74" spans="2:4" ht="32.25" customHeight="1" x14ac:dyDescent="0.25">
      <c r="B74" s="144" t="str">
        <f>B33</f>
        <v>Витрати на оплату праці (грн)</v>
      </c>
      <c r="C74" s="22">
        <f>C33</f>
        <v>0</v>
      </c>
      <c r="D74" s="93" t="str">
        <f t="shared" ref="D74" si="3">D33</f>
        <v>Звітність закладу
1нс, таблиця 6</v>
      </c>
    </row>
    <row r="75" spans="2:4" ht="41.25" customHeight="1" x14ac:dyDescent="0.25">
      <c r="B75" s="144" t="str">
        <f>B34</f>
        <v>Відрахування на соціальні заходи (грн)</v>
      </c>
      <c r="C75" s="22">
        <f t="shared" ref="C75:D75" si="4">C34</f>
        <v>0</v>
      </c>
      <c r="D75" s="93" t="str">
        <f t="shared" si="4"/>
        <v>Звітність закладу</v>
      </c>
    </row>
    <row r="76" spans="2:4" ht="37.5" customHeight="1" x14ac:dyDescent="0.25">
      <c r="B76" s="144" t="str">
        <f>B43</f>
        <v>Гроші та їх еквіваленти (грн)</v>
      </c>
      <c r="C76" s="22">
        <f t="shared" ref="C76:D76" si="5">C43</f>
        <v>0</v>
      </c>
      <c r="D76" s="93" t="str">
        <f t="shared" si="5"/>
        <v>Звітність закладу
1нс, звіт 9</v>
      </c>
    </row>
    <row r="77" spans="2:4" ht="37.5" customHeight="1" thickBot="1" x14ac:dyDescent="0.3">
      <c r="B77" s="23" t="str">
        <f>B29</f>
        <v>Кількість місяців, за який проводиться аналіз (міс.)</v>
      </c>
      <c r="C77" s="120">
        <f>C11</f>
        <v>0</v>
      </c>
      <c r="D77" s="95" t="str">
        <f t="shared" ref="D77" si="6">D29</f>
        <v>х</v>
      </c>
    </row>
    <row r="78" spans="2:4" ht="25.5" customHeight="1" thickBot="1" x14ac:dyDescent="0.3"/>
    <row r="79" spans="2:4" ht="38.25" customHeight="1" x14ac:dyDescent="0.25">
      <c r="B79" s="197" t="s">
        <v>189</v>
      </c>
      <c r="C79" s="198"/>
      <c r="D79" s="199"/>
    </row>
    <row r="80" spans="2:4" ht="37.5" customHeight="1" x14ac:dyDescent="0.25">
      <c r="B80" s="135" t="s">
        <v>0</v>
      </c>
      <c r="C80" s="16" t="s">
        <v>46</v>
      </c>
      <c r="D80" s="136" t="s">
        <v>51</v>
      </c>
    </row>
    <row r="81" spans="2:4" ht="37.5" customHeight="1" x14ac:dyDescent="0.25">
      <c r="B81" s="144" t="s">
        <v>81</v>
      </c>
      <c r="C81" s="39"/>
      <c r="D81" s="93" t="s">
        <v>70</v>
      </c>
    </row>
    <row r="82" spans="2:4" ht="37.5" customHeight="1" x14ac:dyDescent="0.25">
      <c r="B82" s="144" t="s">
        <v>218</v>
      </c>
      <c r="C82" s="39"/>
      <c r="D82" s="93" t="s">
        <v>70</v>
      </c>
    </row>
    <row r="83" spans="2:4" s="42" customFormat="1" ht="69.75" customHeight="1" x14ac:dyDescent="0.25">
      <c r="B83" s="144" t="s">
        <v>82</v>
      </c>
      <c r="C83" s="39"/>
      <c r="D83" s="93" t="s">
        <v>70</v>
      </c>
    </row>
    <row r="84" spans="2:4" ht="39" customHeight="1" x14ac:dyDescent="0.25">
      <c r="B84" s="144" t="s">
        <v>83</v>
      </c>
      <c r="C84" s="39"/>
      <c r="D84" s="93" t="s">
        <v>70</v>
      </c>
    </row>
    <row r="85" spans="2:4" ht="46.5" customHeight="1" x14ac:dyDescent="0.25">
      <c r="B85" s="144" t="s">
        <v>84</v>
      </c>
      <c r="C85" s="39"/>
      <c r="D85" s="93" t="s">
        <v>70</v>
      </c>
    </row>
    <row r="86" spans="2:4" ht="41.25" customHeight="1" x14ac:dyDescent="0.25">
      <c r="B86" s="144" t="s">
        <v>85</v>
      </c>
      <c r="C86" s="39"/>
      <c r="D86" s="93" t="s">
        <v>70</v>
      </c>
    </row>
    <row r="87" spans="2:4" ht="46.5" customHeight="1" thickBot="1" x14ac:dyDescent="0.3">
      <c r="B87" s="23" t="s">
        <v>71</v>
      </c>
      <c r="C87" s="145"/>
      <c r="D87" s="95" t="s">
        <v>68</v>
      </c>
    </row>
    <row r="88" spans="2:4" ht="42.75" customHeight="1" x14ac:dyDescent="0.25"/>
  </sheetData>
  <mergeCells count="9">
    <mergeCell ref="B79:D79"/>
    <mergeCell ref="B1:M1"/>
    <mergeCell ref="B3:D3"/>
    <mergeCell ref="B13:D13"/>
    <mergeCell ref="B23:D23"/>
    <mergeCell ref="B36:D36"/>
    <mergeCell ref="B47:D47"/>
    <mergeCell ref="B61:D61"/>
    <mergeCell ref="C63:D63"/>
  </mergeCells>
  <conditionalFormatting sqref="C5:C8 C10:C11">
    <cfRule type="notContainsBlanks" dxfId="21" priority="2">
      <formula>LEN(TRIM(C5))&gt;0</formula>
    </cfRule>
  </conditionalFormatting>
  <conditionalFormatting sqref="C15:C21">
    <cfRule type="notContainsBlanks" dxfId="20" priority="5">
      <formula>LEN(TRIM(C15))&gt;0</formula>
    </cfRule>
  </conditionalFormatting>
  <conditionalFormatting sqref="C25:C31 C33:C34 C40:C45 C81:C87">
    <cfRule type="notContainsBlanks" dxfId="19" priority="13">
      <formula>LEN(TRIM(C25))&gt;0</formula>
    </cfRule>
  </conditionalFormatting>
  <conditionalFormatting sqref="C49:C59">
    <cfRule type="notContainsBlanks" dxfId="18" priority="4">
      <formula>LEN(TRIM(C49))&gt;0</formula>
    </cfRule>
  </conditionalFormatting>
  <conditionalFormatting sqref="C64:C70">
    <cfRule type="notContainsBlanks" dxfId="17" priority="18">
      <formula>LEN(TRIM(C64))&gt;0</formula>
    </cfRule>
  </conditionalFormatting>
  <conditionalFormatting sqref="C9">
    <cfRule type="notContainsBlanks" dxfId="0" priority="1">
      <formula>LEN(TRIM(C9))&gt;0</formula>
    </cfRule>
  </conditionalFormatting>
  <pageMargins left="0.7" right="0.7" top="0.75" bottom="0.75" header="0.3" footer="0.3"/>
  <ignoredErrors>
    <ignoredError sqref="C77" formula="1"/>
  </ignoredErrors>
  <extLst>
    <ext xmlns:x14="http://schemas.microsoft.com/office/spreadsheetml/2009/9/main" uri="{CCE6A557-97BC-4b89-ADB6-D9C93CAAB3DF}">
      <x14:dataValidations xmlns:xm="http://schemas.microsoft.com/office/excel/2006/main" count="4">
        <x14:dataValidation type="list" allowBlank="1" showInputMessage="1" showErrorMessage="1" xr:uid="{FAC1EC4C-380C-49A2-BF56-66F7C87F8F0C}">
          <x14:formula1>
            <xm:f>tech!$E$20:$E$45</xm:f>
          </x14:formula1>
          <xm:sqref>C7</xm:sqref>
        </x14:dataValidation>
        <x14:dataValidation type="list" allowBlank="1" showInputMessage="1" showErrorMessage="1" xr:uid="{49BFE6D5-C791-4052-8CE3-850244F32B90}">
          <x14:formula1>
            <xm:f>tech!$B$12:$B$14</xm:f>
          </x14:formula1>
          <xm:sqref>C8</xm:sqref>
        </x14:dataValidation>
        <x14:dataValidation type="list" allowBlank="1" showInputMessage="1" showErrorMessage="1" xr:uid="{0217B155-09A3-4689-8C82-8E7F3AF7DC03}">
          <x14:formula1>
            <xm:f>tech!$B$1:$B$3</xm:f>
          </x14:formula1>
          <xm:sqref>C10</xm:sqref>
        </x14:dataValidation>
        <x14:dataValidation type="list" allowBlank="1" showInputMessage="1" showErrorMessage="1" xr:uid="{4596C25F-A721-4BF8-A829-709C643D2F1E}">
          <x14:formula1>
            <xm:f>tech!$H$2:$H$8</xm:f>
          </x14:formula1>
          <xm:sqref>C9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3DDDE-B91F-420D-82B0-11EE51F24CBB}">
  <sheetPr>
    <tabColor rgb="FFFFC000"/>
  </sheetPr>
  <dimension ref="B1:O21"/>
  <sheetViews>
    <sheetView zoomScale="70" zoomScaleNormal="70" workbookViewId="0">
      <selection activeCell="A7" sqref="A7"/>
    </sheetView>
  </sheetViews>
  <sheetFormatPr defaultRowHeight="15.75" x14ac:dyDescent="0.25"/>
  <cols>
    <col min="1" max="1" width="9.140625" style="1"/>
    <col min="2" max="2" width="39.7109375" style="1" customWidth="1"/>
    <col min="3" max="3" width="39.42578125" style="1" customWidth="1"/>
    <col min="4" max="4" width="13.85546875" style="1" customWidth="1"/>
    <col min="5" max="5" width="15.28515625" style="1" customWidth="1"/>
    <col min="6" max="6" width="9.140625" style="1" customWidth="1"/>
    <col min="7" max="7" width="41.140625" style="1" customWidth="1"/>
    <col min="8" max="8" width="51.85546875" style="1" customWidth="1"/>
    <col min="9" max="9" width="14" style="1" customWidth="1"/>
    <col min="10" max="10" width="14.42578125" style="1" customWidth="1"/>
    <col min="11" max="11" width="9.140625" style="1"/>
    <col min="12" max="12" width="34.42578125" style="1" customWidth="1"/>
    <col min="13" max="13" width="43.7109375" style="1" customWidth="1"/>
    <col min="14" max="14" width="14.5703125" style="1" customWidth="1"/>
    <col min="15" max="15" width="13.42578125" style="1" customWidth="1"/>
    <col min="16" max="16384" width="9.140625" style="1"/>
  </cols>
  <sheetData>
    <row r="1" spans="2:15" s="12" customFormat="1" ht="18.75" x14ac:dyDescent="0.25">
      <c r="B1" s="200" t="s">
        <v>86</v>
      </c>
      <c r="C1" s="200"/>
      <c r="D1" s="200"/>
      <c r="E1" s="200"/>
      <c r="F1" s="200"/>
      <c r="G1" s="200"/>
      <c r="H1" s="200"/>
      <c r="I1" s="200"/>
      <c r="J1" s="200"/>
    </row>
    <row r="2" spans="2:15" ht="16.5" thickBot="1" x14ac:dyDescent="0.3"/>
    <row r="3" spans="2:15" s="2" customFormat="1" ht="36" customHeight="1" thickTop="1" thickBot="1" x14ac:dyDescent="0.35">
      <c r="B3" s="209" t="s">
        <v>48</v>
      </c>
      <c r="C3" s="210"/>
      <c r="D3" s="210"/>
      <c r="E3" s="210"/>
      <c r="F3" s="210"/>
      <c r="G3" s="210"/>
      <c r="H3" s="210"/>
      <c r="I3" s="210"/>
      <c r="J3" s="210"/>
      <c r="K3" s="210"/>
      <c r="L3" s="210"/>
      <c r="M3" s="210"/>
      <c r="N3" s="210"/>
      <c r="O3" s="211"/>
    </row>
    <row r="4" spans="2:15" ht="23.25" customHeight="1" thickTop="1" thickBot="1" x14ac:dyDescent="0.3"/>
    <row r="5" spans="2:15" s="2" customFormat="1" ht="15.75" customHeight="1" x14ac:dyDescent="0.3">
      <c r="B5" s="212" t="s">
        <v>6</v>
      </c>
      <c r="C5" s="228" t="s">
        <v>92</v>
      </c>
      <c r="D5" s="216" t="s">
        <v>47</v>
      </c>
      <c r="E5" s="217"/>
      <c r="G5" s="212" t="s">
        <v>89</v>
      </c>
      <c r="H5" s="228" t="s">
        <v>92</v>
      </c>
      <c r="I5" s="216" t="s">
        <v>47</v>
      </c>
      <c r="J5" s="217"/>
      <c r="L5" s="212" t="s">
        <v>16</v>
      </c>
      <c r="M5" s="228" t="s">
        <v>92</v>
      </c>
      <c r="N5" s="216" t="s">
        <v>47</v>
      </c>
      <c r="O5" s="217"/>
    </row>
    <row r="6" spans="2:15" s="2" customFormat="1" ht="21" thickBot="1" x14ac:dyDescent="0.35">
      <c r="B6" s="358"/>
      <c r="C6" s="230"/>
      <c r="D6" s="359"/>
      <c r="E6" s="360"/>
      <c r="G6" s="358"/>
      <c r="H6" s="230"/>
      <c r="I6" s="359"/>
      <c r="J6" s="360"/>
      <c r="L6" s="213"/>
      <c r="M6" s="229"/>
      <c r="N6" s="218"/>
      <c r="O6" s="219"/>
    </row>
    <row r="7" spans="2:15" ht="114" customHeight="1" x14ac:dyDescent="0.25">
      <c r="B7" s="52" t="s">
        <v>96</v>
      </c>
      <c r="C7" s="38" t="s">
        <v>147</v>
      </c>
      <c r="D7" s="34" t="s">
        <v>72</v>
      </c>
      <c r="E7" s="30">
        <v>0.65</v>
      </c>
      <c r="G7" s="57" t="s">
        <v>99</v>
      </c>
      <c r="H7" s="62" t="s">
        <v>277</v>
      </c>
      <c r="I7" s="63" t="s">
        <v>73</v>
      </c>
      <c r="J7" s="64">
        <v>0.9</v>
      </c>
      <c r="L7" s="57" t="s">
        <v>115</v>
      </c>
      <c r="M7" s="70" t="s">
        <v>141</v>
      </c>
      <c r="N7" s="68" t="s">
        <v>72</v>
      </c>
      <c r="O7" s="69">
        <v>0</v>
      </c>
    </row>
    <row r="8" spans="2:15" ht="107.25" customHeight="1" x14ac:dyDescent="0.25">
      <c r="B8" s="248" t="s">
        <v>148</v>
      </c>
      <c r="C8" s="249" t="s">
        <v>276</v>
      </c>
      <c r="D8" s="356" t="s">
        <v>72</v>
      </c>
      <c r="E8" s="357">
        <v>0.05</v>
      </c>
      <c r="G8" s="248" t="s">
        <v>102</v>
      </c>
      <c r="H8" s="362" t="s">
        <v>289</v>
      </c>
      <c r="I8" s="59" t="s">
        <v>100</v>
      </c>
      <c r="J8" s="85">
        <v>3</v>
      </c>
      <c r="L8" s="233" t="s">
        <v>116</v>
      </c>
      <c r="M8" s="237" t="s">
        <v>279</v>
      </c>
      <c r="N8" s="241" t="s">
        <v>73</v>
      </c>
      <c r="O8" s="239">
        <v>0.3</v>
      </c>
    </row>
    <row r="9" spans="2:15" ht="87.75" customHeight="1" x14ac:dyDescent="0.25">
      <c r="B9" s="248"/>
      <c r="C9" s="249"/>
      <c r="D9" s="356"/>
      <c r="E9" s="357"/>
      <c r="G9" s="248"/>
      <c r="H9" s="362"/>
      <c r="I9" s="58" t="s">
        <v>101</v>
      </c>
      <c r="J9" s="86">
        <v>6</v>
      </c>
      <c r="L9" s="234"/>
      <c r="M9" s="238"/>
      <c r="N9" s="242"/>
      <c r="O9" s="245"/>
    </row>
    <row r="10" spans="2:15" ht="110.25" customHeight="1" x14ac:dyDescent="0.25">
      <c r="B10" s="233" t="s">
        <v>97</v>
      </c>
      <c r="C10" s="237" t="s">
        <v>117</v>
      </c>
      <c r="D10" s="241" t="s">
        <v>74</v>
      </c>
      <c r="E10" s="246">
        <v>1</v>
      </c>
      <c r="G10" s="233" t="s">
        <v>111</v>
      </c>
      <c r="H10" s="237" t="s">
        <v>140</v>
      </c>
      <c r="I10" s="241" t="s">
        <v>72</v>
      </c>
      <c r="J10" s="239">
        <v>0.05</v>
      </c>
      <c r="L10" s="233" t="s">
        <v>239</v>
      </c>
      <c r="M10" s="237" t="s">
        <v>280</v>
      </c>
      <c r="N10" s="60" t="s">
        <v>100</v>
      </c>
      <c r="O10" s="167">
        <v>0.2</v>
      </c>
    </row>
    <row r="11" spans="2:15" ht="110.25" customHeight="1" x14ac:dyDescent="0.25">
      <c r="B11" s="234"/>
      <c r="C11" s="238"/>
      <c r="D11" s="242"/>
      <c r="E11" s="247"/>
      <c r="G11" s="234"/>
      <c r="H11" s="238"/>
      <c r="I11" s="242"/>
      <c r="J11" s="240"/>
      <c r="L11" s="234"/>
      <c r="M11" s="238"/>
      <c r="N11" s="61" t="s">
        <v>101</v>
      </c>
      <c r="O11" s="168">
        <v>0.25</v>
      </c>
    </row>
    <row r="12" spans="2:15" ht="86.25" customHeight="1" thickBot="1" x14ac:dyDescent="0.3">
      <c r="B12" s="53" t="s">
        <v>149</v>
      </c>
      <c r="C12" s="90" t="s">
        <v>288</v>
      </c>
      <c r="D12" s="36" t="s">
        <v>73</v>
      </c>
      <c r="E12" s="31">
        <v>0.1</v>
      </c>
      <c r="G12" s="53" t="s">
        <v>113</v>
      </c>
      <c r="H12" s="54" t="s">
        <v>114</v>
      </c>
      <c r="I12" s="55" t="s">
        <v>73</v>
      </c>
      <c r="J12" s="67">
        <v>1</v>
      </c>
      <c r="L12" s="72" t="s">
        <v>122</v>
      </c>
      <c r="M12" s="78" t="s">
        <v>123</v>
      </c>
      <c r="N12" s="55" t="s">
        <v>72</v>
      </c>
      <c r="O12" s="56">
        <v>1</v>
      </c>
    </row>
    <row r="13" spans="2:15" ht="16.5" thickBot="1" x14ac:dyDescent="0.3"/>
    <row r="14" spans="2:15" s="2" customFormat="1" ht="15.75" customHeight="1" x14ac:dyDescent="0.3">
      <c r="B14" s="212" t="s">
        <v>91</v>
      </c>
      <c r="C14" s="228" t="s">
        <v>92</v>
      </c>
      <c r="D14" s="216" t="s">
        <v>47</v>
      </c>
      <c r="E14" s="217"/>
      <c r="G14" s="212" t="s">
        <v>5</v>
      </c>
      <c r="H14" s="228" t="s">
        <v>92</v>
      </c>
      <c r="I14" s="216" t="s">
        <v>47</v>
      </c>
      <c r="J14" s="217"/>
      <c r="L14" s="212" t="s">
        <v>9</v>
      </c>
      <c r="M14" s="228" t="s">
        <v>92</v>
      </c>
      <c r="N14" s="216" t="s">
        <v>47</v>
      </c>
      <c r="O14" s="217"/>
    </row>
    <row r="15" spans="2:15" s="2" customFormat="1" ht="21" thickBot="1" x14ac:dyDescent="0.35">
      <c r="B15" s="358"/>
      <c r="C15" s="230"/>
      <c r="D15" s="359"/>
      <c r="E15" s="360"/>
      <c r="G15" s="213"/>
      <c r="H15" s="229"/>
      <c r="I15" s="218"/>
      <c r="J15" s="219"/>
      <c r="L15" s="358"/>
      <c r="M15" s="229"/>
      <c r="N15" s="359"/>
      <c r="O15" s="360"/>
    </row>
    <row r="16" spans="2:15" ht="142.5" customHeight="1" x14ac:dyDescent="0.25">
      <c r="B16" s="57" t="s">
        <v>126</v>
      </c>
      <c r="C16" s="62" t="s">
        <v>125</v>
      </c>
      <c r="D16" s="35" t="s">
        <v>72</v>
      </c>
      <c r="E16" s="40">
        <v>0.9</v>
      </c>
      <c r="G16" s="57" t="s">
        <v>133</v>
      </c>
      <c r="H16" s="62" t="s">
        <v>290</v>
      </c>
      <c r="I16" s="73" t="s">
        <v>72</v>
      </c>
      <c r="J16" s="81">
        <v>1</v>
      </c>
      <c r="L16" s="87" t="s">
        <v>234</v>
      </c>
      <c r="M16" s="70" t="s">
        <v>155</v>
      </c>
      <c r="N16" s="35" t="s">
        <v>72</v>
      </c>
      <c r="O16" s="32">
        <v>0.8</v>
      </c>
    </row>
    <row r="17" spans="2:15" ht="150.75" customHeight="1" x14ac:dyDescent="0.25">
      <c r="B17" s="52" t="s">
        <v>127</v>
      </c>
      <c r="C17" s="38" t="s">
        <v>142</v>
      </c>
      <c r="D17" s="34" t="s">
        <v>73</v>
      </c>
      <c r="E17" s="30">
        <v>0.65</v>
      </c>
      <c r="G17" s="52" t="s">
        <v>134</v>
      </c>
      <c r="H17" s="38" t="s">
        <v>291</v>
      </c>
      <c r="I17" s="49" t="s">
        <v>72</v>
      </c>
      <c r="J17" s="82">
        <v>1</v>
      </c>
      <c r="L17" s="88" t="s">
        <v>235</v>
      </c>
      <c r="M17" s="89" t="s">
        <v>156</v>
      </c>
      <c r="N17" s="34" t="s">
        <v>73</v>
      </c>
      <c r="O17" s="33">
        <v>0.2</v>
      </c>
    </row>
    <row r="18" spans="2:15" ht="120.75" customHeight="1" x14ac:dyDescent="0.25">
      <c r="B18" s="248" t="s">
        <v>128</v>
      </c>
      <c r="C18" s="249" t="s">
        <v>143</v>
      </c>
      <c r="D18" s="356" t="s">
        <v>74</v>
      </c>
      <c r="E18" s="357">
        <v>1</v>
      </c>
      <c r="G18" s="52" t="s">
        <v>214</v>
      </c>
      <c r="H18" s="38" t="s">
        <v>215</v>
      </c>
      <c r="I18" s="49" t="s">
        <v>72</v>
      </c>
      <c r="J18" s="82">
        <v>1</v>
      </c>
      <c r="L18" s="349" t="s">
        <v>236</v>
      </c>
      <c r="M18" s="351" t="s">
        <v>157</v>
      </c>
      <c r="N18" s="353" t="s">
        <v>73</v>
      </c>
      <c r="O18" s="347">
        <v>0.05</v>
      </c>
    </row>
    <row r="19" spans="2:15" ht="66.75" customHeight="1" x14ac:dyDescent="0.25">
      <c r="B19" s="248"/>
      <c r="C19" s="249"/>
      <c r="D19" s="356"/>
      <c r="E19" s="357"/>
      <c r="G19" s="233" t="s">
        <v>135</v>
      </c>
      <c r="H19" s="237" t="s">
        <v>292</v>
      </c>
      <c r="I19" s="59" t="s">
        <v>100</v>
      </c>
      <c r="J19" s="65">
        <v>2</v>
      </c>
      <c r="L19" s="350"/>
      <c r="M19" s="352"/>
      <c r="N19" s="354"/>
      <c r="O19" s="348"/>
    </row>
    <row r="20" spans="2:15" ht="167.25" customHeight="1" thickBot="1" x14ac:dyDescent="0.3">
      <c r="B20" s="83" t="s">
        <v>153</v>
      </c>
      <c r="C20" s="54" t="s">
        <v>154</v>
      </c>
      <c r="D20" s="36" t="s">
        <v>72</v>
      </c>
      <c r="E20" s="31">
        <v>0.5</v>
      </c>
      <c r="G20" s="355"/>
      <c r="H20" s="361"/>
      <c r="I20" s="141" t="s">
        <v>101</v>
      </c>
      <c r="J20" s="142">
        <v>3</v>
      </c>
      <c r="L20" s="53" t="s">
        <v>237</v>
      </c>
      <c r="M20" s="54" t="s">
        <v>146</v>
      </c>
      <c r="N20" s="36" t="s">
        <v>74</v>
      </c>
      <c r="O20" s="37">
        <v>0</v>
      </c>
    </row>
    <row r="21" spans="2:15" ht="42.75" customHeight="1" x14ac:dyDescent="0.25"/>
  </sheetData>
  <mergeCells count="50">
    <mergeCell ref="H19:H20"/>
    <mergeCell ref="N8:N9"/>
    <mergeCell ref="O8:O9"/>
    <mergeCell ref="B1:J1"/>
    <mergeCell ref="B3:O3"/>
    <mergeCell ref="B5:B6"/>
    <mergeCell ref="D5:E6"/>
    <mergeCell ref="G5:G6"/>
    <mergeCell ref="I5:J6"/>
    <mergeCell ref="L5:L6"/>
    <mergeCell ref="N5:O6"/>
    <mergeCell ref="C5:C6"/>
    <mergeCell ref="H5:H6"/>
    <mergeCell ref="M5:M6"/>
    <mergeCell ref="H8:H9"/>
    <mergeCell ref="N14:O15"/>
    <mergeCell ref="B14:B15"/>
    <mergeCell ref="D14:E15"/>
    <mergeCell ref="G14:G15"/>
    <mergeCell ref="I14:J15"/>
    <mergeCell ref="L14:L15"/>
    <mergeCell ref="C14:C15"/>
    <mergeCell ref="H14:H15"/>
    <mergeCell ref="L8:L9"/>
    <mergeCell ref="G8:G9"/>
    <mergeCell ref="H10:H11"/>
    <mergeCell ref="M8:M9"/>
    <mergeCell ref="I10:I11"/>
    <mergeCell ref="J10:J11"/>
    <mergeCell ref="D8:D9"/>
    <mergeCell ref="E8:E9"/>
    <mergeCell ref="B8:B9"/>
    <mergeCell ref="C8:C9"/>
    <mergeCell ref="G10:G11"/>
    <mergeCell ref="O18:O19"/>
    <mergeCell ref="L18:L19"/>
    <mergeCell ref="M18:M19"/>
    <mergeCell ref="N18:N19"/>
    <mergeCell ref="B10:B11"/>
    <mergeCell ref="C10:C11"/>
    <mergeCell ref="D10:D11"/>
    <mergeCell ref="E10:E11"/>
    <mergeCell ref="G19:G20"/>
    <mergeCell ref="L10:L11"/>
    <mergeCell ref="M10:M11"/>
    <mergeCell ref="M14:M15"/>
    <mergeCell ref="B18:B19"/>
    <mergeCell ref="C18:C19"/>
    <mergeCell ref="D18:D19"/>
    <mergeCell ref="E18:E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4664D-A062-489D-B945-DCE39FD9DB42}">
  <sheetPr>
    <tabColor rgb="FF0070C0"/>
  </sheetPr>
  <dimension ref="B1:AB37"/>
  <sheetViews>
    <sheetView zoomScale="40" zoomScaleNormal="40" workbookViewId="0">
      <selection activeCell="B10" sqref="B10"/>
    </sheetView>
  </sheetViews>
  <sheetFormatPr defaultRowHeight="15.75" x14ac:dyDescent="0.25"/>
  <cols>
    <col min="1" max="1" width="9.140625" style="1"/>
    <col min="2" max="2" width="49.140625" style="1" customWidth="1"/>
    <col min="3" max="3" width="34.85546875" style="1" customWidth="1"/>
    <col min="4" max="4" width="20.5703125" style="1" customWidth="1"/>
    <col min="5" max="5" width="26.28515625" style="1" customWidth="1"/>
    <col min="6" max="6" width="14.140625" style="1" customWidth="1"/>
    <col min="7" max="7" width="17.7109375" style="1" customWidth="1"/>
    <col min="8" max="9" width="20.5703125" style="1" customWidth="1"/>
    <col min="10" max="10" width="9.140625" style="1"/>
    <col min="11" max="11" width="47.28515625" style="1" customWidth="1"/>
    <col min="12" max="12" width="46.85546875" style="1" customWidth="1"/>
    <col min="13" max="13" width="22.5703125" style="1" customWidth="1"/>
    <col min="14" max="14" width="25" style="1" customWidth="1"/>
    <col min="15" max="15" width="12.42578125" style="1" customWidth="1"/>
    <col min="16" max="17" width="17.42578125" style="1" customWidth="1"/>
    <col min="18" max="18" width="22.140625" style="1" customWidth="1"/>
    <col min="19" max="19" width="9.7109375" style="1" customWidth="1"/>
    <col min="20" max="20" width="43.28515625" style="1" customWidth="1"/>
    <col min="21" max="21" width="45.5703125" style="1" customWidth="1"/>
    <col min="22" max="22" width="18.5703125" style="1" customWidth="1"/>
    <col min="23" max="23" width="26.85546875" style="1" customWidth="1"/>
    <col min="24" max="26" width="17.85546875" style="1" customWidth="1"/>
    <col min="27" max="27" width="20.42578125" style="1" customWidth="1"/>
    <col min="28" max="28" width="13.85546875" style="1" customWidth="1"/>
    <col min="29" max="16384" width="9.140625" style="1"/>
  </cols>
  <sheetData>
    <row r="1" spans="2:28" s="12" customFormat="1" ht="18.75" x14ac:dyDescent="0.25">
      <c r="B1" s="200" t="s">
        <v>86</v>
      </c>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row>
    <row r="2" spans="2:28" ht="16.5" thickBot="1" x14ac:dyDescent="0.3"/>
    <row r="3" spans="2:28" s="2" customFormat="1" ht="49.5" customHeight="1" thickTop="1" thickBot="1" x14ac:dyDescent="0.35">
      <c r="B3" s="303" t="s">
        <v>75</v>
      </c>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5"/>
    </row>
    <row r="4" spans="2:28" ht="17.25" thickTop="1" thickBot="1" x14ac:dyDescent="0.3"/>
    <row r="5" spans="2:28" ht="47.25" customHeight="1" x14ac:dyDescent="0.25">
      <c r="B5" s="132" t="str">
        <f>СМД_Вхідні_дані!B5</f>
        <v>Назва закладу:</v>
      </c>
      <c r="C5" s="129">
        <f>СМД_Вхідні_дані!C5</f>
        <v>0</v>
      </c>
    </row>
    <row r="6" spans="2:28" ht="51" customHeight="1" thickBot="1" x14ac:dyDescent="0.3">
      <c r="B6" s="133" t="s">
        <v>199</v>
      </c>
      <c r="C6" s="130" t="str">
        <f>IF(СМД_Вхідні_дані!C6&gt;0,СМД_Вхідні_дані!C6,IF(СМД_Вхідні_дані!C6&lt;0,"-",IF(СМД_Вхідні_дані!C6=0,"-","-")))</f>
        <v>-</v>
      </c>
    </row>
    <row r="7" spans="2:28" ht="53.25" customHeight="1" x14ac:dyDescent="0.35">
      <c r="B7" s="380" t="s">
        <v>19</v>
      </c>
      <c r="C7" s="126">
        <f>I13+R13+AA13+I27+R27+AA27</f>
        <v>0</v>
      </c>
      <c r="J7" s="28"/>
    </row>
    <row r="8" spans="2:28" ht="49.5" customHeight="1" thickBot="1" x14ac:dyDescent="0.3">
      <c r="B8" s="381"/>
      <c r="C8" s="127" t="str">
        <f>IF(C7&gt;0,IF(OR(AND(CМД_Розрахунки!C7&gt;tech!C7,CМД_Розрахунки!C7&lt;tech!D7),CМД_Розрахунки!C7=tech!C7,CМД_Розрахунки!C7=tech!D7),tech!B7,IF(OR(AND(CМД_Розрахунки!C7&gt;tech!C6,CМД_Розрахунки!C7&lt;tech!D6),CМД_Розрахунки!C7=tech!C6,CМД_Розрахунки!C7=tech!D6),tech!B6,IF(OR(CМД_Розрахунки!C7&gt;tech!C5,CМД_Розрахунки!C7=tech!C5),tech!B5,IF(OR(CМД_Розрахунки!C7&lt;tech!C8,C7=tech!C8),tech!B8)))),"-")</f>
        <v>-</v>
      </c>
    </row>
    <row r="9" spans="2:28" ht="47.25" customHeight="1" x14ac:dyDescent="0.25"/>
    <row r="10" spans="2:28" ht="173.25" customHeight="1" x14ac:dyDescent="0.25"/>
    <row r="11" spans="2:28" ht="39.75" customHeight="1" thickBot="1" x14ac:dyDescent="0.3"/>
    <row r="12" spans="2:28" ht="41.25" customHeight="1" x14ac:dyDescent="0.25">
      <c r="B12" s="299" t="s">
        <v>6</v>
      </c>
      <c r="C12" s="289" t="s">
        <v>159</v>
      </c>
      <c r="D12" s="289"/>
      <c r="E12" s="293" t="s">
        <v>160</v>
      </c>
      <c r="F12" s="293" t="s">
        <v>162</v>
      </c>
      <c r="G12" s="293"/>
      <c r="H12" s="73" t="s">
        <v>200</v>
      </c>
      <c r="I12" s="134" t="s">
        <v>18</v>
      </c>
      <c r="K12" s="382" t="s">
        <v>89</v>
      </c>
      <c r="L12" s="289" t="s">
        <v>159</v>
      </c>
      <c r="M12" s="289"/>
      <c r="N12" s="293" t="s">
        <v>160</v>
      </c>
      <c r="O12" s="293" t="s">
        <v>162</v>
      </c>
      <c r="P12" s="293"/>
      <c r="Q12" s="73" t="s">
        <v>200</v>
      </c>
      <c r="R12" s="134" t="s">
        <v>18</v>
      </c>
      <c r="T12" s="212" t="s">
        <v>16</v>
      </c>
      <c r="U12" s="289" t="s">
        <v>159</v>
      </c>
      <c r="V12" s="289"/>
      <c r="W12" s="293" t="s">
        <v>160</v>
      </c>
      <c r="X12" s="293" t="s">
        <v>162</v>
      </c>
      <c r="Y12" s="293"/>
      <c r="Z12" s="73" t="s">
        <v>200</v>
      </c>
      <c r="AA12" s="134" t="s">
        <v>18</v>
      </c>
    </row>
    <row r="13" spans="2:28" ht="33.75" customHeight="1" x14ac:dyDescent="0.25">
      <c r="B13" s="300"/>
      <c r="C13" s="290"/>
      <c r="D13" s="290"/>
      <c r="E13" s="294"/>
      <c r="F13" s="294"/>
      <c r="G13" s="294"/>
      <c r="H13" s="99">
        <f>SUM(H14:H22)</f>
        <v>0.2</v>
      </c>
      <c r="I13" s="106">
        <f>IFERROR(SUM(I14:I22),"-")</f>
        <v>0</v>
      </c>
      <c r="K13" s="383"/>
      <c r="L13" s="290"/>
      <c r="M13" s="290"/>
      <c r="N13" s="294"/>
      <c r="O13" s="294"/>
      <c r="P13" s="294"/>
      <c r="Q13" s="99">
        <f>SUM(Q14:Q22)</f>
        <v>0.1</v>
      </c>
      <c r="R13" s="137">
        <f>IFERROR(SUM(R14:R22),"-")</f>
        <v>0</v>
      </c>
      <c r="T13" s="384"/>
      <c r="U13" s="290"/>
      <c r="V13" s="290"/>
      <c r="W13" s="294"/>
      <c r="X13" s="294"/>
      <c r="Y13" s="294"/>
      <c r="Z13" s="99">
        <f>SUM(Z14:Z22)</f>
        <v>0.1</v>
      </c>
      <c r="AA13" s="137">
        <f>IFERROR(SUM(AA14:AA22),"-")</f>
        <v>0</v>
      </c>
    </row>
    <row r="14" spans="2:28" ht="74.25" customHeight="1" x14ac:dyDescent="0.25">
      <c r="B14" s="256" t="s">
        <v>164</v>
      </c>
      <c r="C14" s="97" t="str">
        <f>СМД_Вхідні_дані!B15</f>
        <v>Загальні доходи закладу (грн)</v>
      </c>
      <c r="D14" s="98">
        <f>СМД_Вхідні_дані!C15</f>
        <v>0</v>
      </c>
      <c r="E14" s="262">
        <f>IFERROR(D15/D14,0)</f>
        <v>0</v>
      </c>
      <c r="F14" s="253" t="str">
        <f>CМД_Цільові_значення!D7</f>
        <v>&gt;</v>
      </c>
      <c r="G14" s="265">
        <f>CМД_Цільові_значення!E7</f>
        <v>0.65</v>
      </c>
      <c r="H14" s="255">
        <v>0.05</v>
      </c>
      <c r="I14" s="252">
        <f>IF(E14&gt;G14,CМД_Розрахунки!H14,0)</f>
        <v>0</v>
      </c>
      <c r="K14" s="256" t="s">
        <v>168</v>
      </c>
      <c r="L14" s="97" t="str">
        <f>СМД_Вхідні_дані!B25</f>
        <v>Дохід від реалізації товарів робіт і послуг (грн)</v>
      </c>
      <c r="M14" s="98">
        <f>СМД_Вхідні_дані!C25</f>
        <v>0</v>
      </c>
      <c r="N14" s="307">
        <f>IFERROR(M15/M14,0)</f>
        <v>0</v>
      </c>
      <c r="O14" s="253" t="str">
        <f>CМД_Цільові_значення!I7</f>
        <v>&lt;</v>
      </c>
      <c r="P14" s="253">
        <f>CМД_Цільові_значення!J7</f>
        <v>0.9</v>
      </c>
      <c r="Q14" s="311">
        <v>2.5000000000000001E-2</v>
      </c>
      <c r="R14" s="313">
        <f>IF(AND(N14&gt;0,N14&lt;=P14),CМД_Розрахунки!Q14,0)</f>
        <v>0</v>
      </c>
      <c r="T14" s="256" t="s">
        <v>172</v>
      </c>
      <c r="U14" s="97" t="str">
        <f>СМД_Вхідні_дані!B38</f>
        <v>Загальні доходи закладу (грн)</v>
      </c>
      <c r="V14" s="98">
        <f>СМД_Вхідні_дані!C38</f>
        <v>0</v>
      </c>
      <c r="W14" s="268">
        <f>IFERROR(V14-V15,0)</f>
        <v>0</v>
      </c>
      <c r="X14" s="253" t="str">
        <f>CМД_Цільові_значення!N7</f>
        <v>&gt;</v>
      </c>
      <c r="Y14" s="298">
        <f>CМД_Цільові_значення!O7</f>
        <v>0</v>
      </c>
      <c r="Z14" s="311">
        <v>2.5000000000000001E-2</v>
      </c>
      <c r="AA14" s="313">
        <f>IF(W14&gt;Y14,CМД_Розрахунки!Z14,0)</f>
        <v>0</v>
      </c>
    </row>
    <row r="15" spans="2:28" ht="98.25" customHeight="1" x14ac:dyDescent="0.25">
      <c r="B15" s="256"/>
      <c r="C15" s="97" t="str">
        <f>СМД_Вхідні_дані!B16</f>
        <v>Дохід за всіма пакетами Програми медичних гарантій (грн)</v>
      </c>
      <c r="D15" s="98">
        <f>СМД_Вхідні_дані!C16</f>
        <v>0</v>
      </c>
      <c r="E15" s="262"/>
      <c r="F15" s="253"/>
      <c r="G15" s="253"/>
      <c r="H15" s="255"/>
      <c r="I15" s="252"/>
      <c r="K15" s="256"/>
      <c r="L15" s="97" t="str">
        <f>СМД_Вхідні_дані!B26</f>
        <v>Виробничі витрати (грн)</v>
      </c>
      <c r="M15" s="98">
        <f>СМД_Вхідні_дані!C26</f>
        <v>0</v>
      </c>
      <c r="N15" s="307"/>
      <c r="O15" s="253"/>
      <c r="P15" s="253"/>
      <c r="Q15" s="311"/>
      <c r="R15" s="313"/>
      <c r="T15" s="256"/>
      <c r="U15" s="97" t="str">
        <f>СМД_Вхідні_дані!B39</f>
        <v>Сума загальних витрат закладу (грн)</v>
      </c>
      <c r="V15" s="98">
        <f>СМД_Вхідні_дані!C39</f>
        <v>0</v>
      </c>
      <c r="W15" s="268"/>
      <c r="X15" s="253"/>
      <c r="Y15" s="253"/>
      <c r="Z15" s="311"/>
      <c r="AA15" s="313"/>
    </row>
    <row r="16" spans="2:28" ht="93" customHeight="1" x14ac:dyDescent="0.25">
      <c r="B16" s="269" t="s">
        <v>201</v>
      </c>
      <c r="C16" s="97" t="str">
        <f>СМД_Вхідні_дані!B15</f>
        <v>Загальні доходи закладу (грн)</v>
      </c>
      <c r="D16" s="98">
        <f>СМД_Вхідні_дані!C15</f>
        <v>0</v>
      </c>
      <c r="E16" s="372">
        <f>IFERROR(D17/D16,0)</f>
        <v>0</v>
      </c>
      <c r="F16" s="275" t="str">
        <f>CМД_Цільові_значення!D8</f>
        <v>&gt;</v>
      </c>
      <c r="G16" s="332">
        <f>CМД_Цільові_значення!E8</f>
        <v>0.05</v>
      </c>
      <c r="H16" s="281">
        <v>0.05</v>
      </c>
      <c r="I16" s="284">
        <f>IF(E16&gt;CМД_Цільові_значення!E8,CМД_Розрахунки!H16,0)</f>
        <v>0</v>
      </c>
      <c r="K16" s="269" t="s">
        <v>169</v>
      </c>
      <c r="L16" s="97" t="str">
        <f>СМД_Вхідні_дані!B27</f>
        <v>Запаси лікарських засобів та виробів медичного призначення на кінець періоду (грн)</v>
      </c>
      <c r="M16" s="98">
        <f>СМД_Вхідні_дані!C27</f>
        <v>0</v>
      </c>
      <c r="N16" s="393">
        <f>IFERROR(M16/(M17/M18),0)</f>
        <v>0</v>
      </c>
      <c r="O16" s="102" t="str">
        <f>CМД_Цільові_значення!I8</f>
        <v>&gt;=</v>
      </c>
      <c r="P16" s="109">
        <f>CМД_Цільові_значення!J8</f>
        <v>3</v>
      </c>
      <c r="Q16" s="390">
        <v>2.5000000000000001E-2</v>
      </c>
      <c r="R16" s="364">
        <f>IF(AND(OR(N16&gt;P16,N16=P16),OR(CМД_Розрахунки!N16&lt;P17,CМД_Розрахунки!N16=P17)),Q16,0)</f>
        <v>0</v>
      </c>
      <c r="T16" s="269" t="s">
        <v>203</v>
      </c>
      <c r="U16" s="97" t="str">
        <f>СМД_Вхідні_дані!B40</f>
        <v>Сума зносу основних засобів (грн)</v>
      </c>
      <c r="V16" s="98">
        <f>СМД_Вхідні_дані!C40</f>
        <v>0</v>
      </c>
      <c r="W16" s="372">
        <f>IFERROR(V16/V17,0)</f>
        <v>0</v>
      </c>
      <c r="X16" s="275" t="str">
        <f>CМД_Цільові_значення!N8</f>
        <v>&lt;</v>
      </c>
      <c r="Y16" s="375">
        <f>CМД_Цільові_значення!O8</f>
        <v>0.3</v>
      </c>
      <c r="Z16" s="390">
        <v>2.5000000000000001E-2</v>
      </c>
      <c r="AA16" s="364">
        <f>IF(AND(W16&gt;0,СМД_Вхідні_дані!C40&gt;0,W16&lt;Y16),CМД_Розрахунки!Z16,0)</f>
        <v>0</v>
      </c>
    </row>
    <row r="17" spans="2:27" ht="113.25" customHeight="1" x14ac:dyDescent="0.25">
      <c r="B17" s="270"/>
      <c r="C17" s="370" t="str">
        <f>СМД_Вхідні_дані!B18</f>
        <v>Дохід від надання послуг за кошти фізичних і юридичних осіб (грн)</v>
      </c>
      <c r="D17" s="278">
        <f>СМД_Вхідні_дані!C18</f>
        <v>0</v>
      </c>
      <c r="E17" s="373"/>
      <c r="F17" s="276"/>
      <c r="G17" s="333"/>
      <c r="H17" s="282"/>
      <c r="I17" s="285"/>
      <c r="K17" s="270"/>
      <c r="L17" s="97" t="str">
        <f>СМД_Вхідні_дані!B28</f>
        <v>Обсяг споживання лікарських засобів та виробів медичного призначення (використання ТМЦ) (грн)</v>
      </c>
      <c r="M17" s="98">
        <f>СМД_Вхідні_дані!C28</f>
        <v>0</v>
      </c>
      <c r="N17" s="394"/>
      <c r="O17" s="275" t="str">
        <f>CМД_Цільові_значення!I9</f>
        <v>&lt;=</v>
      </c>
      <c r="P17" s="378">
        <f>CМД_Цільові_значення!J9</f>
        <v>6</v>
      </c>
      <c r="Q17" s="391"/>
      <c r="R17" s="365"/>
      <c r="T17" s="270"/>
      <c r="U17" s="370" t="str">
        <f>СМД_Вхідні_дані!B41</f>
        <v>Первісна вартість основних засобів (грн)</v>
      </c>
      <c r="V17" s="278">
        <f>СМД_Вхідні_дані!C41</f>
        <v>0</v>
      </c>
      <c r="W17" s="373"/>
      <c r="X17" s="276"/>
      <c r="Y17" s="376"/>
      <c r="Z17" s="391"/>
      <c r="AA17" s="365"/>
    </row>
    <row r="18" spans="2:27" ht="75.75" customHeight="1" x14ac:dyDescent="0.25">
      <c r="B18" s="271"/>
      <c r="C18" s="371"/>
      <c r="D18" s="280"/>
      <c r="E18" s="374"/>
      <c r="F18" s="277"/>
      <c r="G18" s="334"/>
      <c r="H18" s="283"/>
      <c r="I18" s="286"/>
      <c r="K18" s="271"/>
      <c r="L18" s="97" t="str">
        <f>СМД_Вхідні_дані!B29</f>
        <v>Кількість місяців, за який проводиться аналіз (міс.)</v>
      </c>
      <c r="M18" s="98">
        <f>СМД_Вхідні_дані!C29</f>
        <v>0</v>
      </c>
      <c r="N18" s="395"/>
      <c r="O18" s="277"/>
      <c r="P18" s="379"/>
      <c r="Q18" s="392"/>
      <c r="R18" s="366"/>
      <c r="T18" s="271"/>
      <c r="U18" s="371"/>
      <c r="V18" s="280"/>
      <c r="W18" s="374"/>
      <c r="X18" s="277"/>
      <c r="Y18" s="377"/>
      <c r="Z18" s="392"/>
      <c r="AA18" s="366"/>
    </row>
    <row r="19" spans="2:27" ht="96" customHeight="1" x14ac:dyDescent="0.25">
      <c r="B19" s="269" t="s">
        <v>165</v>
      </c>
      <c r="C19" s="97" t="str">
        <f>СМД_Вхідні_дані!B20</f>
        <v>Поточна кредиторська заборгованість за товари, роботи і послуги (грн)</v>
      </c>
      <c r="D19" s="98">
        <f>СМД_Вхідні_дані!C20</f>
        <v>0</v>
      </c>
      <c r="E19" s="387">
        <f>IFERROR(D19/D20,0)</f>
        <v>0</v>
      </c>
      <c r="F19" s="275" t="str">
        <f>CМД_Цільові_значення!D10</f>
        <v>=</v>
      </c>
      <c r="G19" s="278">
        <f>CМД_Цільові_значення!E10</f>
        <v>1</v>
      </c>
      <c r="H19" s="281">
        <v>0.05</v>
      </c>
      <c r="I19" s="284">
        <f>IF(E19=G19,H19,0)</f>
        <v>0</v>
      </c>
      <c r="K19" s="269" t="s">
        <v>170</v>
      </c>
      <c r="L19" s="97" t="str">
        <f>СМД_Вхідні_дані!B30</f>
        <v>Сума загальних витрат закладу (грн)</v>
      </c>
      <c r="M19" s="98">
        <f>СМД_Вхідні_дані!C30</f>
        <v>0</v>
      </c>
      <c r="N19" s="372">
        <f>IFERROR(M20/M19,0)</f>
        <v>0</v>
      </c>
      <c r="O19" s="275" t="str">
        <f>CМД_Цільові_значення!I10</f>
        <v>&gt;</v>
      </c>
      <c r="P19" s="332">
        <f>CМД_Цільові_значення!J10</f>
        <v>0.05</v>
      </c>
      <c r="Q19" s="390">
        <v>2.5000000000000001E-2</v>
      </c>
      <c r="R19" s="364">
        <f>IF(N19&gt;=P19,CМД_Розрахунки!Q19,0)</f>
        <v>0</v>
      </c>
      <c r="T19" s="256" t="s">
        <v>250</v>
      </c>
      <c r="U19" s="97" t="str">
        <f>СМД_Вхідні_дані!B42</f>
        <v>Поточні фінансові інвестиції (грн)</v>
      </c>
      <c r="V19" s="98">
        <f>СМД_Вхідні_дані!C42</f>
        <v>0</v>
      </c>
      <c r="W19" s="396">
        <f>IFERROR((V19+V20)/V21,0)</f>
        <v>0</v>
      </c>
      <c r="X19" s="102" t="str">
        <f>CМД_Цільові_значення!N10</f>
        <v>&gt;=</v>
      </c>
      <c r="Y19" s="155">
        <f>CМД_Цільові_значення!O10</f>
        <v>0.2</v>
      </c>
      <c r="Z19" s="311">
        <v>2.5000000000000001E-2</v>
      </c>
      <c r="AA19" s="313">
        <f>IF(AND(OR(CМД_Розрахунки!W19&gt;Y19,CМД_Розрахунки!W19=Y19),OR(CМД_Розрахунки!W19&lt;Y20,CМД_Розрахунки!W19=Y20)),CМД_Розрахунки!Z19,0)</f>
        <v>0</v>
      </c>
    </row>
    <row r="20" spans="2:27" ht="69.75" customHeight="1" x14ac:dyDescent="0.25">
      <c r="B20" s="270"/>
      <c r="C20" s="370" t="str">
        <f>СМД_Вхідні_дані!B21</f>
        <v>Дебіторська заборгованість за продукцію, товари, роботи, послуги (грн)</v>
      </c>
      <c r="D20" s="278">
        <f>СМД_Вхідні_дані!C21</f>
        <v>0</v>
      </c>
      <c r="E20" s="388"/>
      <c r="F20" s="276"/>
      <c r="G20" s="279"/>
      <c r="H20" s="282"/>
      <c r="I20" s="285"/>
      <c r="K20" s="270"/>
      <c r="L20" s="370" t="str">
        <f>СМД_Вхідні_дані!B31</f>
        <v>Капітальні інвестиції (грн)</v>
      </c>
      <c r="M20" s="278">
        <f>СМД_Вхідні_дані!C31</f>
        <v>0</v>
      </c>
      <c r="N20" s="373"/>
      <c r="O20" s="276"/>
      <c r="P20" s="333"/>
      <c r="Q20" s="391"/>
      <c r="R20" s="365"/>
      <c r="T20" s="256"/>
      <c r="U20" s="97" t="str">
        <f>СМД_Вхідні_дані!B43</f>
        <v>Гроші та їх еквіваленти (грн)</v>
      </c>
      <c r="V20" s="98">
        <f>СМД_Вхідні_дані!C43</f>
        <v>0</v>
      </c>
      <c r="W20" s="396"/>
      <c r="X20" s="253" t="str">
        <f>CМД_Цільові_значення!N11</f>
        <v>&lt;=</v>
      </c>
      <c r="Y20" s="319">
        <f>CМД_Цільові_значення!O11</f>
        <v>0.25</v>
      </c>
      <c r="Z20" s="311"/>
      <c r="AA20" s="313"/>
    </row>
    <row r="21" spans="2:27" ht="72.75" customHeight="1" x14ac:dyDescent="0.25">
      <c r="B21" s="271"/>
      <c r="C21" s="371"/>
      <c r="D21" s="280"/>
      <c r="E21" s="389"/>
      <c r="F21" s="277"/>
      <c r="G21" s="280"/>
      <c r="H21" s="283"/>
      <c r="I21" s="286"/>
      <c r="K21" s="271"/>
      <c r="L21" s="371"/>
      <c r="M21" s="280"/>
      <c r="N21" s="374"/>
      <c r="O21" s="277"/>
      <c r="P21" s="334"/>
      <c r="Q21" s="392"/>
      <c r="R21" s="366"/>
      <c r="T21" s="256"/>
      <c r="U21" s="97" t="str">
        <f>СМД_Вхідні_дані!B44</f>
        <v>Поточні зобов’язання і забезпечення (грн)</v>
      </c>
      <c r="V21" s="98">
        <f>СМД_Вхідні_дані!C44</f>
        <v>0</v>
      </c>
      <c r="W21" s="396"/>
      <c r="X21" s="253"/>
      <c r="Y21" s="319"/>
      <c r="Z21" s="311"/>
      <c r="AA21" s="313"/>
    </row>
    <row r="22" spans="2:27" ht="57.75" customHeight="1" x14ac:dyDescent="0.25">
      <c r="B22" s="256" t="s">
        <v>202</v>
      </c>
      <c r="C22" s="97" t="str">
        <f>СМД_Вхідні_дані!B15</f>
        <v>Загальні доходи закладу (грн)</v>
      </c>
      <c r="D22" s="98">
        <f>СМД_Вхідні_дані!C15</f>
        <v>0</v>
      </c>
      <c r="E22" s="262">
        <f>IFERROR(D23/D22,0)</f>
        <v>0</v>
      </c>
      <c r="F22" s="253" t="str">
        <f>CМД_Цільові_значення!D12</f>
        <v>&lt;</v>
      </c>
      <c r="G22" s="265">
        <f>CМД_Цільові_значення!E12</f>
        <v>0.1</v>
      </c>
      <c r="H22" s="255">
        <v>0.05</v>
      </c>
      <c r="I22" s="252">
        <f>IF(СМД_Вхідні_дані!C17&gt;0,IF(E22&lt;G22,CМД_Розрахунки!H22,0),0)</f>
        <v>0</v>
      </c>
      <c r="K22" s="256" t="s">
        <v>171</v>
      </c>
      <c r="L22" s="97" t="str">
        <f>СМД_Вхідні_дані!B32</f>
        <v>Загальні доходи закладу (грн)</v>
      </c>
      <c r="M22" s="98">
        <f>СМД_Вхідні_дані!C32</f>
        <v>0</v>
      </c>
      <c r="N22" s="307">
        <f>IFERROR((M23+M24)/M22,0)</f>
        <v>0</v>
      </c>
      <c r="O22" s="253" t="str">
        <f>CМД_Цільові_значення!I12</f>
        <v>&lt;</v>
      </c>
      <c r="P22" s="298">
        <f>CМД_Цільові_значення!J12</f>
        <v>1</v>
      </c>
      <c r="Q22" s="311">
        <v>2.5000000000000001E-2</v>
      </c>
      <c r="R22" s="252">
        <f>IF(AND(N22&lt;P22,N22&gt;0),Q22,0)</f>
        <v>0</v>
      </c>
      <c r="T22" s="256" t="s">
        <v>174</v>
      </c>
      <c r="U22" s="97" t="str">
        <f>СМД_Вхідні_дані!B38</f>
        <v>Загальні доходи закладу (грн)</v>
      </c>
      <c r="V22" s="98">
        <f>СМД_Вхідні_дані!C38</f>
        <v>0</v>
      </c>
      <c r="W22" s="262">
        <f>IFERROR(V23/V22,0)</f>
        <v>0</v>
      </c>
      <c r="X22" s="253" t="str">
        <f>CМД_Цільові_значення!N12</f>
        <v>&gt;</v>
      </c>
      <c r="Y22" s="265">
        <f>CМД_Цільові_значення!O12</f>
        <v>1</v>
      </c>
      <c r="Z22" s="311">
        <v>2.5000000000000001E-2</v>
      </c>
      <c r="AA22" s="313">
        <f>IF(W22&gt;=CМД_Цільові_значення!O12,CМД_Розрахунки!Z22,0)</f>
        <v>0</v>
      </c>
    </row>
    <row r="23" spans="2:27" ht="65.25" customHeight="1" x14ac:dyDescent="0.25">
      <c r="B23" s="256"/>
      <c r="C23" s="385" t="str">
        <f>СМД_Вхідні_дані!B17</f>
        <v>Надходження від місцевих бюджетів (грн)</v>
      </c>
      <c r="D23" s="254">
        <f>СМД_Вхідні_дані!C17</f>
        <v>0</v>
      </c>
      <c r="E23" s="262"/>
      <c r="F23" s="253"/>
      <c r="G23" s="265"/>
      <c r="H23" s="255"/>
      <c r="I23" s="252"/>
      <c r="K23" s="256"/>
      <c r="L23" s="97" t="str">
        <f>СМД_Вхідні_дані!B33</f>
        <v>Витрати на оплату праці (грн)</v>
      </c>
      <c r="M23" s="98">
        <f>СМД_Вхідні_дані!C33</f>
        <v>0</v>
      </c>
      <c r="N23" s="307"/>
      <c r="O23" s="253"/>
      <c r="P23" s="253"/>
      <c r="Q23" s="311"/>
      <c r="R23" s="252"/>
      <c r="T23" s="256"/>
      <c r="U23" s="258" t="str">
        <f>СМД_Вхідні_дані!B45</f>
        <v>Залишкова вартість основних засобів (грн)</v>
      </c>
      <c r="V23" s="254">
        <f>СМД_Вхідні_дані!C45</f>
        <v>0</v>
      </c>
      <c r="W23" s="262"/>
      <c r="X23" s="253"/>
      <c r="Y23" s="253"/>
      <c r="Z23" s="311"/>
      <c r="AA23" s="313"/>
    </row>
    <row r="24" spans="2:27" ht="57.75" customHeight="1" thickBot="1" x14ac:dyDescent="0.3">
      <c r="B24" s="257"/>
      <c r="C24" s="386"/>
      <c r="D24" s="295"/>
      <c r="E24" s="263"/>
      <c r="F24" s="264"/>
      <c r="G24" s="369"/>
      <c r="H24" s="266"/>
      <c r="I24" s="267"/>
      <c r="K24" s="257"/>
      <c r="L24" s="107" t="str">
        <f>СМД_Вхідні_дані!B34</f>
        <v>Відрахування на соціальні заходи (грн)</v>
      </c>
      <c r="M24" s="108">
        <f>СМД_Вхідні_дані!C34</f>
        <v>0</v>
      </c>
      <c r="N24" s="315"/>
      <c r="O24" s="264"/>
      <c r="P24" s="264"/>
      <c r="Q24" s="312"/>
      <c r="R24" s="267"/>
      <c r="T24" s="257"/>
      <c r="U24" s="259"/>
      <c r="V24" s="295"/>
      <c r="W24" s="263"/>
      <c r="X24" s="264"/>
      <c r="Y24" s="264"/>
      <c r="Z24" s="312"/>
      <c r="AA24" s="314"/>
    </row>
    <row r="25" spans="2:27" ht="30.75" customHeight="1" thickBot="1" x14ac:dyDescent="0.3"/>
    <row r="26" spans="2:27" ht="40.5" customHeight="1" x14ac:dyDescent="0.25">
      <c r="B26" s="299" t="s">
        <v>91</v>
      </c>
      <c r="C26" s="289" t="s">
        <v>159</v>
      </c>
      <c r="D26" s="289"/>
      <c r="E26" s="293" t="s">
        <v>160</v>
      </c>
      <c r="F26" s="293" t="s">
        <v>162</v>
      </c>
      <c r="G26" s="293"/>
      <c r="H26" s="73" t="s">
        <v>200</v>
      </c>
      <c r="I26" s="134" t="s">
        <v>18</v>
      </c>
      <c r="K26" s="299" t="s">
        <v>5</v>
      </c>
      <c r="L26" s="289" t="s">
        <v>159</v>
      </c>
      <c r="M26" s="289"/>
      <c r="N26" s="293" t="s">
        <v>160</v>
      </c>
      <c r="O26" s="293" t="s">
        <v>162</v>
      </c>
      <c r="P26" s="293"/>
      <c r="Q26" s="73" t="s">
        <v>200</v>
      </c>
      <c r="R26" s="134" t="s">
        <v>18</v>
      </c>
      <c r="T26" s="212" t="s">
        <v>9</v>
      </c>
      <c r="U26" s="289" t="s">
        <v>159</v>
      </c>
      <c r="V26" s="289"/>
      <c r="W26" s="293" t="s">
        <v>160</v>
      </c>
      <c r="X26" s="293" t="s">
        <v>162</v>
      </c>
      <c r="Y26" s="293"/>
      <c r="Z26" s="73" t="s">
        <v>200</v>
      </c>
      <c r="AA26" s="134" t="s">
        <v>18</v>
      </c>
    </row>
    <row r="27" spans="2:27" ht="30.75" customHeight="1" x14ac:dyDescent="0.25">
      <c r="B27" s="300"/>
      <c r="C27" s="290"/>
      <c r="D27" s="290"/>
      <c r="E27" s="294"/>
      <c r="F27" s="294"/>
      <c r="G27" s="294"/>
      <c r="H27" s="99">
        <f>SUM(H28:H34)</f>
        <v>0.2</v>
      </c>
      <c r="I27" s="106">
        <f>IFERROR(SUM(I28:I34),"-")</f>
        <v>0</v>
      </c>
      <c r="K27" s="300"/>
      <c r="L27" s="290"/>
      <c r="M27" s="290"/>
      <c r="N27" s="294"/>
      <c r="O27" s="294"/>
      <c r="P27" s="294"/>
      <c r="Q27" s="143">
        <f>SUM(Q28:Q36)</f>
        <v>0.2</v>
      </c>
      <c r="R27" s="137">
        <f>IFERROR(SUM(R28:R36),"-")</f>
        <v>0</v>
      </c>
      <c r="T27" s="384"/>
      <c r="U27" s="290"/>
      <c r="V27" s="290"/>
      <c r="W27" s="294"/>
      <c r="X27" s="294"/>
      <c r="Y27" s="294"/>
      <c r="Z27" s="99">
        <f>SUM(Z28:Z34)</f>
        <v>0.2</v>
      </c>
      <c r="AA27" s="106">
        <f>IFERROR(SUM(AA28:AA34),"-")</f>
        <v>0</v>
      </c>
    </row>
    <row r="28" spans="2:27" ht="99.75" customHeight="1" x14ac:dyDescent="0.25">
      <c r="B28" s="256" t="s">
        <v>176</v>
      </c>
      <c r="C28" s="97" t="str">
        <f>СМД_Вхідні_дані!B49</f>
        <v>Загальна чисельність персоналу закладу (ос.)</v>
      </c>
      <c r="D28" s="96">
        <f>СМД_Вхідні_дані!C49</f>
        <v>0</v>
      </c>
      <c r="E28" s="262">
        <f>IFERROR(D29/D28,0)</f>
        <v>0</v>
      </c>
      <c r="F28" s="253" t="str">
        <f>CМД_Цільові_значення!D16</f>
        <v>&gt;</v>
      </c>
      <c r="G28" s="265">
        <f>CМД_Цільові_значення!E16</f>
        <v>0.9</v>
      </c>
      <c r="H28" s="255">
        <v>0.05</v>
      </c>
      <c r="I28" s="252">
        <f>IF(AND(СМД_Вхідні_дані!C49&gt;0,E28&gt;0,E28&gt;=G28),CМД_Розрахунки!H28,0)</f>
        <v>0</v>
      </c>
      <c r="K28" s="337" t="s">
        <v>211</v>
      </c>
      <c r="L28" s="122" t="s">
        <v>298</v>
      </c>
      <c r="M28" s="96">
        <f>СМД_Вхідні_дані!C67</f>
        <v>0</v>
      </c>
      <c r="N28" s="397">
        <f>IFERROR(M28/M29,0)</f>
        <v>0</v>
      </c>
      <c r="O28" s="253" t="str">
        <f>CМД_Цільові_значення!I16</f>
        <v>&gt;</v>
      </c>
      <c r="P28" s="265">
        <f>CМД_Цільові_значення!J16</f>
        <v>1</v>
      </c>
      <c r="Q28" s="311">
        <v>0.05</v>
      </c>
      <c r="R28" s="313">
        <f>IF(N28&gt;P28,CМД_Розрахунки!Q28,0)</f>
        <v>0</v>
      </c>
      <c r="T28" s="337" t="s">
        <v>254</v>
      </c>
      <c r="U28" s="125" t="str">
        <f>СМД_Вхідні_дані!B81</f>
        <v>Загальна кількість ліжок закладу (од.)</v>
      </c>
      <c r="V28" s="96">
        <f>СМД_Вхідні_дані!C81</f>
        <v>0</v>
      </c>
      <c r="W28" s="262">
        <f>IFERROR(V28/(V29*365),0)</f>
        <v>0</v>
      </c>
      <c r="X28" s="341" t="str">
        <f>CМД_Цільові_значення!N16</f>
        <v>&gt;</v>
      </c>
      <c r="Y28" s="343">
        <f>CМД_Цільові_значення!O16</f>
        <v>0.8</v>
      </c>
      <c r="Z28" s="255">
        <v>0.05</v>
      </c>
      <c r="AA28" s="252">
        <f>IF(W28&gt;Y28,CМД_Розрахунки!Z28,0)</f>
        <v>0</v>
      </c>
    </row>
    <row r="29" spans="2:27" ht="125.25" customHeight="1" x14ac:dyDescent="0.25">
      <c r="B29" s="256"/>
      <c r="C29" s="97" t="str">
        <f>СМД_Вхідні_дані!B56</f>
        <v>Чисельність персоналу, що працює більше 1 року (ос.)</v>
      </c>
      <c r="D29" s="96">
        <f>СМД_Вхідні_дані!C56</f>
        <v>0</v>
      </c>
      <c r="E29" s="262"/>
      <c r="F29" s="253"/>
      <c r="G29" s="253"/>
      <c r="H29" s="255"/>
      <c r="I29" s="252"/>
      <c r="K29" s="337"/>
      <c r="L29" s="122" t="str">
        <f>СМД_Вхідні_дані!B71</f>
        <v>Мінімальний розмір оплати праці для осіб, які займають лікарські посади, за виконану у повному обсязі місячну (годинну) норму праці (грн)</v>
      </c>
      <c r="M29" s="96">
        <f>СМД_Вхідні_дані!C71</f>
        <v>0</v>
      </c>
      <c r="N29" s="397"/>
      <c r="O29" s="253"/>
      <c r="P29" s="253"/>
      <c r="Q29" s="311"/>
      <c r="R29" s="313"/>
      <c r="T29" s="337"/>
      <c r="U29" s="125" t="str">
        <f>СМД_Вхідні_дані!B82</f>
        <v>Тривалість перебування пацієнтів (дн.)</v>
      </c>
      <c r="V29" s="96">
        <f>СМД_Вхідні_дані!C82</f>
        <v>0</v>
      </c>
      <c r="W29" s="262"/>
      <c r="X29" s="341"/>
      <c r="Y29" s="341"/>
      <c r="Z29" s="255"/>
      <c r="AA29" s="252"/>
    </row>
    <row r="30" spans="2:27" ht="142.5" customHeight="1" x14ac:dyDescent="0.25">
      <c r="B30" s="256" t="s">
        <v>204</v>
      </c>
      <c r="C30" s="97" t="str">
        <f>СМД_Вхідні_дані!B49</f>
        <v>Загальна чисельність персоналу закладу (ос.)</v>
      </c>
      <c r="D30" s="96">
        <f>СМД_Вхідні_дані!C49</f>
        <v>0</v>
      </c>
      <c r="E30" s="262">
        <f>IFERROR(D31/D30,0)</f>
        <v>0</v>
      </c>
      <c r="F30" s="253" t="str">
        <f>CМД_Цільові_значення!D17</f>
        <v>&lt;</v>
      </c>
      <c r="G30" s="265">
        <f>CМД_Цільові_значення!E17</f>
        <v>0.65</v>
      </c>
      <c r="H30" s="255">
        <v>0.05</v>
      </c>
      <c r="I30" s="252">
        <f>IF(AND(СМД_Вхідні_дані!C49&gt;0,E30&gt;0,E30&lt;=G30),CМД_Розрахунки!H30,0)</f>
        <v>0</v>
      </c>
      <c r="K30" s="337" t="s">
        <v>212</v>
      </c>
      <c r="L30" s="122" t="s">
        <v>186</v>
      </c>
      <c r="M30" s="96">
        <f>СМД_Вхідні_дані!C68</f>
        <v>0</v>
      </c>
      <c r="N30" s="397">
        <f>IFERROR(M30/M31,0)</f>
        <v>0</v>
      </c>
      <c r="O30" s="253" t="str">
        <f>CМД_Цільові_значення!I17</f>
        <v>&gt;</v>
      </c>
      <c r="P30" s="265">
        <f>CМД_Цільові_значення!J17</f>
        <v>1</v>
      </c>
      <c r="Q30" s="311">
        <v>0.05</v>
      </c>
      <c r="R30" s="313">
        <f>IF(N30&gt;P30,CМД_Розрахунки!Q30,0)</f>
        <v>0</v>
      </c>
      <c r="T30" s="337" t="s">
        <v>255</v>
      </c>
      <c r="U30" s="125" t="str">
        <f>СМД_Вхідні_дані!B83</f>
        <v>Кількість пацієнтів, які були повторно госпіталізовані протягом місяця з приводу одного і того ж захворювання до того ж самого відділення закладу (ос.)</v>
      </c>
      <c r="V30" s="96">
        <f>СМД_Вхідні_дані!C83</f>
        <v>0</v>
      </c>
      <c r="W30" s="367">
        <f>IFERROR(V30/V31,0)</f>
        <v>0</v>
      </c>
      <c r="X30" s="341" t="str">
        <f>CМД_Цільові_значення!N17</f>
        <v>&lt;</v>
      </c>
      <c r="Y30" s="343">
        <f>CМД_Цільові_значення!O17</f>
        <v>0.2</v>
      </c>
      <c r="Z30" s="255">
        <v>0.05</v>
      </c>
      <c r="AA30" s="252">
        <f>IF(СМД_Вхідні_дані!C84&gt;0,IF(W30&lt;Y30,CМД_Розрахунки!Z30,0),0)</f>
        <v>0</v>
      </c>
    </row>
    <row r="31" spans="2:27" ht="189.75" customHeight="1" x14ac:dyDescent="0.25">
      <c r="B31" s="256"/>
      <c r="C31" s="97" t="str">
        <f>СМД_Вхідні_дані!B57</f>
        <v>Чисельність персоналу, звільненого за власним бажанням (ос.)</v>
      </c>
      <c r="D31" s="96">
        <f>СМД_Вхідні_дані!C57</f>
        <v>0</v>
      </c>
      <c r="E31" s="262"/>
      <c r="F31" s="253"/>
      <c r="G31" s="253"/>
      <c r="H31" s="255"/>
      <c r="I31" s="252"/>
      <c r="K31" s="337"/>
      <c r="L31" s="122" t="str">
        <f>СМД_Вхідні_дані!B72</f>
        <v>Мінімальний розмір оплати праці для осіб, які займають посади у закладах охорони здоров’я, віднесені єдиними кваліфікаційними вимогами до посад фахівців, за виконану у повному обсязі місячну (годинну) норму праці (грн)</v>
      </c>
      <c r="M31" s="96">
        <f>СМД_Вхідні_дані!C72</f>
        <v>0</v>
      </c>
      <c r="N31" s="397"/>
      <c r="O31" s="253"/>
      <c r="P31" s="253"/>
      <c r="Q31" s="311"/>
      <c r="R31" s="313"/>
      <c r="T31" s="337"/>
      <c r="U31" s="125" t="str">
        <f>СМД_Вхідні_дані!B84</f>
        <v>Загальна кількість госпіталізованих пацієнтів (ос.)</v>
      </c>
      <c r="V31" s="96">
        <f>СМД_Вхідні_дані!C84</f>
        <v>0</v>
      </c>
      <c r="W31" s="367"/>
      <c r="X31" s="341"/>
      <c r="Y31" s="341"/>
      <c r="Z31" s="255"/>
      <c r="AA31" s="252"/>
    </row>
    <row r="32" spans="2:27" ht="88.5" customHeight="1" x14ac:dyDescent="0.25">
      <c r="B32" s="256" t="s">
        <v>178</v>
      </c>
      <c r="C32" s="97" t="s">
        <v>293</v>
      </c>
      <c r="D32" s="96">
        <f>СМД_Вхідні_дані!C52</f>
        <v>0</v>
      </c>
      <c r="E32" s="262">
        <f>IFERROR(D33/D32,0)</f>
        <v>0</v>
      </c>
      <c r="F32" s="253" t="str">
        <f>CМД_Цільові_значення!D18</f>
        <v>=</v>
      </c>
      <c r="G32" s="265">
        <f>CМД_Цільові_значення!E18</f>
        <v>1</v>
      </c>
      <c r="H32" s="255">
        <v>0.05</v>
      </c>
      <c r="I32" s="252">
        <f>IF(E32=G32,CМД_Розрахунки!H32,0)</f>
        <v>0</v>
      </c>
      <c r="K32" s="337" t="s">
        <v>213</v>
      </c>
      <c r="L32" s="122" t="s">
        <v>210</v>
      </c>
      <c r="M32" s="96">
        <f>СМД_Вхідні_дані!C69</f>
        <v>0</v>
      </c>
      <c r="N32" s="397">
        <f>IFERROR(M32/M33,0)</f>
        <v>0</v>
      </c>
      <c r="O32" s="253" t="str">
        <f>CМД_Цільові_значення!I18</f>
        <v>&gt;</v>
      </c>
      <c r="P32" s="265">
        <f>CМД_Цільові_значення!J18</f>
        <v>1</v>
      </c>
      <c r="Q32" s="311">
        <v>0.05</v>
      </c>
      <c r="R32" s="313">
        <f>IF(N32&gt;P32,CМД_Розрахунки!Q32,0)</f>
        <v>0</v>
      </c>
      <c r="T32" s="337" t="s">
        <v>256</v>
      </c>
      <c r="U32" s="125" t="str">
        <f>СМД_Вхідні_дані!B85</f>
        <v>Кількість прооперованих пацієнтів, які померли (ос.)</v>
      </c>
      <c r="V32" s="96">
        <f>СМД_Вхідні_дані!C85</f>
        <v>0</v>
      </c>
      <c r="W32" s="367">
        <f>IFERROR(V32/V33,0)</f>
        <v>0</v>
      </c>
      <c r="X32" s="341" t="str">
        <f>CМД_Цільові_значення!N18</f>
        <v>&lt;</v>
      </c>
      <c r="Y32" s="343">
        <f>CМД_Цільові_значення!O18</f>
        <v>0.05</v>
      </c>
      <c r="Z32" s="255">
        <v>0.05</v>
      </c>
      <c r="AA32" s="252">
        <f>IF(СМД_Вхідні_дані!C85&gt;0,IF(W32&lt;Y32,CМД_Розрахунки!Z32,0),0)</f>
        <v>0</v>
      </c>
    </row>
    <row r="33" spans="2:27" ht="171" customHeight="1" x14ac:dyDescent="0.25">
      <c r="B33" s="256"/>
      <c r="C33" s="97" t="str">
        <f>СМД_Вхідні_дані!B59</f>
        <v>Кількість лікарів, які отримали щонайменше 50 балів БПР (за рік) (ос.)</v>
      </c>
      <c r="D33" s="96">
        <f>СМД_Вхідні_дані!C59</f>
        <v>0</v>
      </c>
      <c r="E33" s="262"/>
      <c r="F33" s="253"/>
      <c r="G33" s="253"/>
      <c r="H33" s="255"/>
      <c r="I33" s="252"/>
      <c r="K33" s="337"/>
      <c r="L33" s="103" t="str">
        <f>СМД_Вхідні_дані!B73</f>
        <v>Мінімальний розмір оплати праці для осіб, які займають посади молодшого медичного персоналу, за виконану у повному обсязі місячну (годинну) норму праці (грн)</v>
      </c>
      <c r="M33" s="96">
        <f>СМД_Вхідні_дані!C73</f>
        <v>0</v>
      </c>
      <c r="N33" s="397"/>
      <c r="O33" s="253"/>
      <c r="P33" s="253"/>
      <c r="Q33" s="311"/>
      <c r="R33" s="313"/>
      <c r="T33" s="337"/>
      <c r="U33" s="125" t="str">
        <f>СМД_Вхідні_дані!B86</f>
        <v>Загальна кількість пацієнтів, які були прооперовані (ос.)</v>
      </c>
      <c r="V33" s="96">
        <f>СМД_Вхідні_дані!C86</f>
        <v>0</v>
      </c>
      <c r="W33" s="367"/>
      <c r="X33" s="341"/>
      <c r="Y33" s="341"/>
      <c r="Z33" s="255"/>
      <c r="AA33" s="252"/>
    </row>
    <row r="34" spans="2:27" ht="74.25" customHeight="1" x14ac:dyDescent="0.25">
      <c r="B34" s="256" t="s">
        <v>205</v>
      </c>
      <c r="C34" s="119" t="str">
        <f>СМД_Вхідні_дані!B49</f>
        <v>Загальна чисельність персоналу закладу (ос.)</v>
      </c>
      <c r="D34" s="96">
        <f>СМД_Вхідні_дані!C49</f>
        <v>0</v>
      </c>
      <c r="E34" s="262">
        <f>IFERROR(D35/D34,0)</f>
        <v>0</v>
      </c>
      <c r="F34" s="341" t="str">
        <f>CМД_Цільові_значення!D20</f>
        <v>&gt;</v>
      </c>
      <c r="G34" s="343">
        <f>CМД_Цільові_значення!E20</f>
        <v>0.5</v>
      </c>
      <c r="H34" s="255">
        <v>0.05</v>
      </c>
      <c r="I34" s="252">
        <f>IF(AND(СМД_Вхідні_дані!C58&gt;0,E34&gt;0,E34&gt;=G34),CМД_Розрахунки!H34,0)</f>
        <v>0</v>
      </c>
      <c r="K34" s="256" t="s">
        <v>183</v>
      </c>
      <c r="L34" s="122" t="str">
        <f>СМД_Вхідні_дані!B74</f>
        <v>Витрати на оплату праці (грн)</v>
      </c>
      <c r="M34" s="96">
        <f>СМД_Вхідні_дані!C74</f>
        <v>0</v>
      </c>
      <c r="N34" s="402">
        <f>IFERROR(M36/((M34+M35)/M37),0)</f>
        <v>0</v>
      </c>
      <c r="O34" s="253" t="str">
        <f>CМД_Цільові_значення!I19</f>
        <v>&gt;=</v>
      </c>
      <c r="P34" s="298">
        <f>CМД_Цільові_значення!J19</f>
        <v>2</v>
      </c>
      <c r="Q34" s="311">
        <v>0.05</v>
      </c>
      <c r="R34" s="364">
        <f>IF(AND(M33&gt;0,OR(N34&gt;P34,N34=P34),OR(N34&lt;P36,N34=P36)),Q34,IF(AND(M33=0,OR(N34&gt;P34,N34=P34),OR(N34&lt;P36,N34=P36)),(Q34+Q32),0))</f>
        <v>0</v>
      </c>
      <c r="T34" s="256" t="s">
        <v>251</v>
      </c>
      <c r="U34" s="258" t="str">
        <f>СМД_Вхідні_дані!B87</f>
        <v>Частка скарг пацієнтів з виявленими порушеннями (%)</v>
      </c>
      <c r="V34" s="260">
        <f>СМД_Вхідні_дані!C87</f>
        <v>0</v>
      </c>
      <c r="W34" s="367">
        <f>СМД_Вхідні_дані!C87</f>
        <v>0</v>
      </c>
      <c r="X34" s="253" t="str">
        <f>CМД_Цільові_значення!N20</f>
        <v>=</v>
      </c>
      <c r="Y34" s="265">
        <f>CМД_Цільові_значення!O20</f>
        <v>0</v>
      </c>
      <c r="Z34" s="255">
        <v>0.05</v>
      </c>
      <c r="AA34" s="252">
        <f>IF(ISBLANK(СМД_Вхідні_дані!C87),0,IF(CМД_Розрахунки!W34&gt;CМД_Цільові_значення!O20,0,CМД_Розрахунки!Z34))</f>
        <v>0</v>
      </c>
    </row>
    <row r="35" spans="2:27" ht="51.75" customHeight="1" x14ac:dyDescent="0.25">
      <c r="B35" s="256"/>
      <c r="C35" s="398" t="str">
        <f>СМД_Вхідні_дані!B58</f>
        <v>Чисельність персоналу віком до 44 років (ос.)</v>
      </c>
      <c r="D35" s="287">
        <f>СМД_Вхідні_дані!C58</f>
        <v>0</v>
      </c>
      <c r="E35" s="262"/>
      <c r="F35" s="341"/>
      <c r="G35" s="343"/>
      <c r="H35" s="255"/>
      <c r="I35" s="252"/>
      <c r="K35" s="256"/>
      <c r="L35" s="122" t="str">
        <f>СМД_Вхідні_дані!B75</f>
        <v>Відрахування на соціальні заходи (грн)</v>
      </c>
      <c r="M35" s="96">
        <f>СМД_Вхідні_дані!C75</f>
        <v>0</v>
      </c>
      <c r="N35" s="402"/>
      <c r="O35" s="253"/>
      <c r="P35" s="298"/>
      <c r="Q35" s="311"/>
      <c r="R35" s="365"/>
      <c r="T35" s="256"/>
      <c r="U35" s="258"/>
      <c r="V35" s="260"/>
      <c r="W35" s="367"/>
      <c r="X35" s="253"/>
      <c r="Y35" s="265"/>
      <c r="Z35" s="255"/>
      <c r="AA35" s="252"/>
    </row>
    <row r="36" spans="2:27" ht="41.25" customHeight="1" x14ac:dyDescent="0.25">
      <c r="B36" s="256"/>
      <c r="C36" s="398"/>
      <c r="D36" s="287"/>
      <c r="E36" s="262"/>
      <c r="F36" s="341"/>
      <c r="G36" s="343"/>
      <c r="H36" s="255"/>
      <c r="I36" s="252"/>
      <c r="K36" s="256"/>
      <c r="L36" s="122" t="str">
        <f>СМД_Вхідні_дані!B76</f>
        <v>Гроші та їх еквіваленти (грн)</v>
      </c>
      <c r="M36" s="96">
        <f>СМД_Вхідні_дані!C76</f>
        <v>0</v>
      </c>
      <c r="N36" s="402"/>
      <c r="O36" s="253" t="str">
        <f>CМД_Цільові_значення!I20</f>
        <v>&lt;=</v>
      </c>
      <c r="P36" s="298">
        <f>CМД_Цільові_значення!J20</f>
        <v>3</v>
      </c>
      <c r="Q36" s="311"/>
      <c r="R36" s="365"/>
      <c r="T36" s="256"/>
      <c r="U36" s="258"/>
      <c r="V36" s="260"/>
      <c r="W36" s="367"/>
      <c r="X36" s="253"/>
      <c r="Y36" s="265"/>
      <c r="Z36" s="255"/>
      <c r="AA36" s="252"/>
    </row>
    <row r="37" spans="2:27" ht="68.25" customHeight="1" thickBot="1" x14ac:dyDescent="0.3">
      <c r="B37" s="257"/>
      <c r="C37" s="399"/>
      <c r="D37" s="400"/>
      <c r="E37" s="263"/>
      <c r="F37" s="342"/>
      <c r="G37" s="401"/>
      <c r="H37" s="266"/>
      <c r="I37" s="267"/>
      <c r="K37" s="257"/>
      <c r="L37" s="123" t="str">
        <f>СМД_Вхідні_дані!B77</f>
        <v>Кількість місяців, за який проводиться аналіз (міс.)</v>
      </c>
      <c r="M37" s="118">
        <f>СМД_Вхідні_дані!C77</f>
        <v>0</v>
      </c>
      <c r="N37" s="403"/>
      <c r="O37" s="264"/>
      <c r="P37" s="363"/>
      <c r="Q37" s="312"/>
      <c r="R37" s="366"/>
      <c r="T37" s="257"/>
      <c r="U37" s="259"/>
      <c r="V37" s="261"/>
      <c r="W37" s="368"/>
      <c r="X37" s="264"/>
      <c r="Y37" s="369"/>
      <c r="Z37" s="266"/>
      <c r="AA37" s="267"/>
    </row>
  </sheetData>
  <mergeCells count="189">
    <mergeCell ref="Z32:Z33"/>
    <mergeCell ref="AA32:AA33"/>
    <mergeCell ref="Z34:Z37"/>
    <mergeCell ref="AA34:AA37"/>
    <mergeCell ref="N34:N37"/>
    <mergeCell ref="T28:T29"/>
    <mergeCell ref="W28:W29"/>
    <mergeCell ref="X28:X29"/>
    <mergeCell ref="Y28:Y29"/>
    <mergeCell ref="W32:W33"/>
    <mergeCell ref="T32:T33"/>
    <mergeCell ref="X32:X33"/>
    <mergeCell ref="Y32:Y33"/>
    <mergeCell ref="Q32:Q33"/>
    <mergeCell ref="R28:R29"/>
    <mergeCell ref="R30:R31"/>
    <mergeCell ref="R32:R33"/>
    <mergeCell ref="O28:O29"/>
    <mergeCell ref="P28:P29"/>
    <mergeCell ref="N32:N33"/>
    <mergeCell ref="O30:O31"/>
    <mergeCell ref="P30:P31"/>
    <mergeCell ref="O32:O33"/>
    <mergeCell ref="P32:P33"/>
    <mergeCell ref="K34:K37"/>
    <mergeCell ref="B34:B37"/>
    <mergeCell ref="C35:C37"/>
    <mergeCell ref="D35:D37"/>
    <mergeCell ref="E34:E37"/>
    <mergeCell ref="F34:F37"/>
    <mergeCell ref="G34:G37"/>
    <mergeCell ref="H34:H37"/>
    <mergeCell ref="I34:I37"/>
    <mergeCell ref="K32:K33"/>
    <mergeCell ref="I32:I33"/>
    <mergeCell ref="B32:B33"/>
    <mergeCell ref="E32:E33"/>
    <mergeCell ref="F32:F33"/>
    <mergeCell ref="G32:G33"/>
    <mergeCell ref="H32:H33"/>
    <mergeCell ref="H28:H29"/>
    <mergeCell ref="I28:I29"/>
    <mergeCell ref="E30:E31"/>
    <mergeCell ref="B30:B31"/>
    <mergeCell ref="F30:F31"/>
    <mergeCell ref="G30:G31"/>
    <mergeCell ref="H30:H31"/>
    <mergeCell ref="I30:I31"/>
    <mergeCell ref="B28:B29"/>
    <mergeCell ref="E28:E29"/>
    <mergeCell ref="F28:F29"/>
    <mergeCell ref="G28:G29"/>
    <mergeCell ref="Z22:Z24"/>
    <mergeCell ref="AA22:AA24"/>
    <mergeCell ref="K28:K29"/>
    <mergeCell ref="K30:K31"/>
    <mergeCell ref="N28:N29"/>
    <mergeCell ref="N30:N31"/>
    <mergeCell ref="Q30:Q31"/>
    <mergeCell ref="Q28:Q29"/>
    <mergeCell ref="Z28:Z29"/>
    <mergeCell ref="AA28:AA29"/>
    <mergeCell ref="W30:W31"/>
    <mergeCell ref="T30:T31"/>
    <mergeCell ref="X30:X31"/>
    <mergeCell ref="Y30:Y31"/>
    <mergeCell ref="Z30:Z31"/>
    <mergeCell ref="AA30:AA31"/>
    <mergeCell ref="Q22:Q24"/>
    <mergeCell ref="R22:R24"/>
    <mergeCell ref="T22:T24"/>
    <mergeCell ref="Z14:Z15"/>
    <mergeCell ref="AA14:AA15"/>
    <mergeCell ref="Z19:Z21"/>
    <mergeCell ref="AA19:AA21"/>
    <mergeCell ref="T14:T15"/>
    <mergeCell ref="W14:W15"/>
    <mergeCell ref="X14:X15"/>
    <mergeCell ref="T19:T21"/>
    <mergeCell ref="W19:W21"/>
    <mergeCell ref="X20:X21"/>
    <mergeCell ref="Z16:Z18"/>
    <mergeCell ref="AA16:AA18"/>
    <mergeCell ref="K14:K15"/>
    <mergeCell ref="Q14:Q15"/>
    <mergeCell ref="R14:R15"/>
    <mergeCell ref="O14:O15"/>
    <mergeCell ref="P14:P15"/>
    <mergeCell ref="N22:N24"/>
    <mergeCell ref="O22:O24"/>
    <mergeCell ref="P22:P24"/>
    <mergeCell ref="K16:K18"/>
    <mergeCell ref="N16:N18"/>
    <mergeCell ref="O17:O18"/>
    <mergeCell ref="Q16:Q18"/>
    <mergeCell ref="F19:F21"/>
    <mergeCell ref="G19:G21"/>
    <mergeCell ref="H19:H21"/>
    <mergeCell ref="I19:I21"/>
    <mergeCell ref="Q19:Q21"/>
    <mergeCell ref="R19:R21"/>
    <mergeCell ref="K22:K24"/>
    <mergeCell ref="L20:L21"/>
    <mergeCell ref="M20:M21"/>
    <mergeCell ref="N19:N21"/>
    <mergeCell ref="O19:O21"/>
    <mergeCell ref="P19:P21"/>
    <mergeCell ref="U12:V13"/>
    <mergeCell ref="B26:B27"/>
    <mergeCell ref="K26:K27"/>
    <mergeCell ref="T26:T27"/>
    <mergeCell ref="C12:D13"/>
    <mergeCell ref="B14:B15"/>
    <mergeCell ref="E14:E15"/>
    <mergeCell ref="F14:F15"/>
    <mergeCell ref="G14:G15"/>
    <mergeCell ref="H14:H15"/>
    <mergeCell ref="I14:I15"/>
    <mergeCell ref="B22:B24"/>
    <mergeCell ref="C23:C24"/>
    <mergeCell ref="D23:D24"/>
    <mergeCell ref="E22:E24"/>
    <mergeCell ref="F22:F24"/>
    <mergeCell ref="G22:G24"/>
    <mergeCell ref="H22:H24"/>
    <mergeCell ref="I22:I24"/>
    <mergeCell ref="K19:K21"/>
    <mergeCell ref="B19:B21"/>
    <mergeCell ref="C20:C21"/>
    <mergeCell ref="D20:D21"/>
    <mergeCell ref="E19:E21"/>
    <mergeCell ref="W12:W13"/>
    <mergeCell ref="X12:Y13"/>
    <mergeCell ref="U26:V27"/>
    <mergeCell ref="W26:W27"/>
    <mergeCell ref="X26:Y27"/>
    <mergeCell ref="Y14:Y15"/>
    <mergeCell ref="B1:AB1"/>
    <mergeCell ref="B3:AB3"/>
    <mergeCell ref="B7:B8"/>
    <mergeCell ref="B12:B13"/>
    <mergeCell ref="K12:K13"/>
    <mergeCell ref="T12:T13"/>
    <mergeCell ref="E12:E13"/>
    <mergeCell ref="F12:G13"/>
    <mergeCell ref="C26:D27"/>
    <mergeCell ref="E26:E27"/>
    <mergeCell ref="F26:G27"/>
    <mergeCell ref="L12:M13"/>
    <mergeCell ref="N12:N13"/>
    <mergeCell ref="O12:P13"/>
    <mergeCell ref="L26:M27"/>
    <mergeCell ref="N26:N27"/>
    <mergeCell ref="O26:P27"/>
    <mergeCell ref="N14:N15"/>
    <mergeCell ref="B16:B18"/>
    <mergeCell ref="C17:C18"/>
    <mergeCell ref="D17:D18"/>
    <mergeCell ref="E16:E18"/>
    <mergeCell ref="F16:F18"/>
    <mergeCell ref="G16:G18"/>
    <mergeCell ref="H16:H18"/>
    <mergeCell ref="I16:I18"/>
    <mergeCell ref="P17:P18"/>
    <mergeCell ref="W34:W37"/>
    <mergeCell ref="X34:X37"/>
    <mergeCell ref="Y34:Y37"/>
    <mergeCell ref="R16:R18"/>
    <mergeCell ref="T16:T18"/>
    <mergeCell ref="U17:U18"/>
    <mergeCell ref="V17:V18"/>
    <mergeCell ref="W16:W18"/>
    <mergeCell ref="X16:X18"/>
    <mergeCell ref="Y16:Y18"/>
    <mergeCell ref="Y20:Y21"/>
    <mergeCell ref="W22:W24"/>
    <mergeCell ref="U23:U24"/>
    <mergeCell ref="V23:V24"/>
    <mergeCell ref="X22:X24"/>
    <mergeCell ref="Y22:Y24"/>
    <mergeCell ref="O34:O35"/>
    <mergeCell ref="P34:P35"/>
    <mergeCell ref="O36:O37"/>
    <mergeCell ref="P36:P37"/>
    <mergeCell ref="Q34:Q37"/>
    <mergeCell ref="R34:R37"/>
    <mergeCell ref="T34:T37"/>
    <mergeCell ref="U34:U37"/>
    <mergeCell ref="V34:V37"/>
  </mergeCells>
  <conditionalFormatting sqref="I14:I16 I19 I22">
    <cfRule type="cellIs" dxfId="16" priority="19" operator="greaterThan">
      <formula>0</formula>
    </cfRule>
    <cfRule type="cellIs" dxfId="15" priority="20" operator="equal">
      <formula>0</formula>
    </cfRule>
  </conditionalFormatting>
  <conditionalFormatting sqref="I28:I34">
    <cfRule type="cellIs" dxfId="14" priority="7" operator="greaterThan">
      <formula>0</formula>
    </cfRule>
    <cfRule type="cellIs" dxfId="13" priority="8" operator="equal">
      <formula>0</formula>
    </cfRule>
  </conditionalFormatting>
  <conditionalFormatting sqref="R14:R16 R19">
    <cfRule type="cellIs" dxfId="12" priority="17" operator="greaterThan">
      <formula>0</formula>
    </cfRule>
    <cfRule type="cellIs" dxfId="11" priority="18" operator="equal">
      <formula>0</formula>
    </cfRule>
  </conditionalFormatting>
  <conditionalFormatting sqref="R22">
    <cfRule type="cellIs" dxfId="10" priority="15" operator="greaterThan">
      <formula>0</formula>
    </cfRule>
    <cfRule type="cellIs" dxfId="9" priority="16" operator="equal">
      <formula>0</formula>
    </cfRule>
  </conditionalFormatting>
  <conditionalFormatting sqref="R28:R34">
    <cfRule type="cellIs" dxfId="8" priority="3" operator="greaterThan">
      <formula>0</formula>
    </cfRule>
    <cfRule type="cellIs" dxfId="7" priority="4" operator="equal">
      <formula>0</formula>
    </cfRule>
  </conditionalFormatting>
  <conditionalFormatting sqref="AA14:AA16 AA19">
    <cfRule type="cellIs" dxfId="6" priority="11" operator="greaterThan">
      <formula>0</formula>
    </cfRule>
    <cfRule type="cellIs" dxfId="5" priority="12" operator="equal">
      <formula>0</formula>
    </cfRule>
  </conditionalFormatting>
  <conditionalFormatting sqref="AA22">
    <cfRule type="cellIs" dxfId="4" priority="9" operator="greaterThan">
      <formula>0</formula>
    </cfRule>
    <cfRule type="cellIs" dxfId="3" priority="10" operator="equal">
      <formula>0</formula>
    </cfRule>
  </conditionalFormatting>
  <conditionalFormatting sqref="AA28:AA34">
    <cfRule type="cellIs" dxfId="2" priority="1" operator="greaterThan">
      <formula>0</formula>
    </cfRule>
    <cfRule type="cellIs" dxfId="1" priority="2" operator="equal">
      <formula>0</formula>
    </cfRule>
  </conditionalFormatting>
  <pageMargins left="0.7" right="0.7" top="0.75" bottom="0.75" header="0.3" footer="0.3"/>
  <pageSetup paperSize="9" orientation="portrait" r:id="rId1"/>
  <ignoredErrors>
    <ignoredError sqref="C15:D15 C29:D29"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99C90-986E-4405-8255-F5B31A6429CF}">
  <sheetPr>
    <tabColor rgb="FFFF0000"/>
  </sheetPr>
  <dimension ref="B1:I67"/>
  <sheetViews>
    <sheetView workbookViewId="0">
      <selection activeCell="I2" sqref="I2:I8"/>
    </sheetView>
  </sheetViews>
  <sheetFormatPr defaultRowHeight="15" x14ac:dyDescent="0.25"/>
  <cols>
    <col min="2" max="2" width="29.140625" bestFit="1" customWidth="1"/>
    <col min="3" max="3" width="32" customWidth="1"/>
    <col min="4" max="4" width="28.42578125" bestFit="1" customWidth="1"/>
    <col min="5" max="5" width="30" bestFit="1" customWidth="1"/>
    <col min="6" max="6" width="24.5703125" customWidth="1"/>
  </cols>
  <sheetData>
    <row r="1" spans="2:9" x14ac:dyDescent="0.25">
      <c r="B1" t="s">
        <v>240</v>
      </c>
      <c r="C1">
        <v>3</v>
      </c>
    </row>
    <row r="2" spans="2:9" x14ac:dyDescent="0.25">
      <c r="B2" t="s">
        <v>241</v>
      </c>
      <c r="C2">
        <v>6</v>
      </c>
      <c r="H2">
        <v>2019</v>
      </c>
      <c r="I2" s="405">
        <v>370</v>
      </c>
    </row>
    <row r="3" spans="2:9" x14ac:dyDescent="0.25">
      <c r="B3" t="s">
        <v>242</v>
      </c>
      <c r="C3">
        <v>12</v>
      </c>
      <c r="H3">
        <v>2020</v>
      </c>
      <c r="I3" s="405">
        <f>(600.48*10+651.5*2)/12</f>
        <v>608.98333333333335</v>
      </c>
    </row>
    <row r="4" spans="2:9" x14ac:dyDescent="0.25">
      <c r="C4" s="29">
        <v>0</v>
      </c>
      <c r="H4">
        <v>2021</v>
      </c>
      <c r="I4" s="406">
        <v>651.6</v>
      </c>
    </row>
    <row r="5" spans="2:9" x14ac:dyDescent="0.25">
      <c r="B5" t="s">
        <v>1</v>
      </c>
      <c r="C5" s="3">
        <v>0.91</v>
      </c>
      <c r="D5" s="3">
        <v>1</v>
      </c>
      <c r="H5">
        <v>2022</v>
      </c>
      <c r="I5" s="405">
        <v>786.65</v>
      </c>
    </row>
    <row r="6" spans="2:9" x14ac:dyDescent="0.25">
      <c r="B6" t="s">
        <v>2</v>
      </c>
      <c r="C6" s="3">
        <v>0.61</v>
      </c>
      <c r="D6" s="3">
        <v>0.9</v>
      </c>
      <c r="H6">
        <v>2023</v>
      </c>
      <c r="I6" s="405">
        <v>786.65</v>
      </c>
    </row>
    <row r="7" spans="2:9" x14ac:dyDescent="0.25">
      <c r="B7" t="s">
        <v>3</v>
      </c>
      <c r="C7" s="3">
        <v>0.51</v>
      </c>
      <c r="D7" s="3">
        <v>0.6</v>
      </c>
      <c r="H7">
        <v>2024</v>
      </c>
      <c r="I7" s="405">
        <v>786.65</v>
      </c>
    </row>
    <row r="8" spans="2:9" x14ac:dyDescent="0.25">
      <c r="B8" t="s">
        <v>4</v>
      </c>
      <c r="C8" s="3">
        <v>0.5</v>
      </c>
      <c r="D8" s="3"/>
      <c r="H8">
        <v>2025</v>
      </c>
      <c r="I8" s="405">
        <v>844.4</v>
      </c>
    </row>
    <row r="10" spans="2:9" x14ac:dyDescent="0.25">
      <c r="C10" s="139" t="s">
        <v>206</v>
      </c>
      <c r="D10" s="139" t="s">
        <v>207</v>
      </c>
      <c r="E10" s="139" t="s">
        <v>209</v>
      </c>
    </row>
    <row r="11" spans="2:9" x14ac:dyDescent="0.25">
      <c r="C11" s="139"/>
      <c r="D11" s="139"/>
      <c r="E11" s="139"/>
    </row>
    <row r="12" spans="2:9" ht="94.5" x14ac:dyDescent="0.25">
      <c r="B12" s="166" t="s">
        <v>249</v>
      </c>
      <c r="C12" s="140">
        <v>28000</v>
      </c>
      <c r="D12" s="140">
        <v>18000</v>
      </c>
      <c r="E12" s="140">
        <v>9000</v>
      </c>
    </row>
    <row r="13" spans="2:9" ht="47.25" x14ac:dyDescent="0.25">
      <c r="B13" s="166" t="s">
        <v>247</v>
      </c>
      <c r="C13" s="140">
        <v>23000</v>
      </c>
      <c r="D13" s="140">
        <v>15500</v>
      </c>
      <c r="E13" s="140">
        <v>8000</v>
      </c>
    </row>
    <row r="14" spans="2:9" ht="31.5" x14ac:dyDescent="0.25">
      <c r="B14" s="166" t="s">
        <v>248</v>
      </c>
      <c r="C14" s="140">
        <v>20000</v>
      </c>
      <c r="D14" s="140">
        <v>13500</v>
      </c>
      <c r="E14" s="140">
        <v>0</v>
      </c>
    </row>
    <row r="15" spans="2:9" ht="15.75" x14ac:dyDescent="0.25">
      <c r="B15" s="138"/>
      <c r="C15" s="140"/>
      <c r="D15" s="140"/>
      <c r="E15" s="140"/>
    </row>
    <row r="16" spans="2:9" ht="45" customHeight="1" x14ac:dyDescent="0.25">
      <c r="B16" s="138"/>
      <c r="C16" s="140"/>
      <c r="D16" s="140"/>
      <c r="E16" s="140"/>
    </row>
    <row r="19" spans="2:6" ht="75" x14ac:dyDescent="0.25">
      <c r="B19" s="169" t="s">
        <v>268</v>
      </c>
      <c r="C19" s="18" t="s">
        <v>269</v>
      </c>
      <c r="E19" s="169" t="s">
        <v>271</v>
      </c>
      <c r="F19" s="18" t="s">
        <v>269</v>
      </c>
    </row>
    <row r="20" spans="2:6" x14ac:dyDescent="0.25">
      <c r="B20" s="17" t="s">
        <v>20</v>
      </c>
      <c r="C20">
        <v>0</v>
      </c>
      <c r="E20" s="17" t="s">
        <v>20</v>
      </c>
      <c r="F20">
        <v>0</v>
      </c>
    </row>
    <row r="21" spans="2:6" x14ac:dyDescent="0.25">
      <c r="B21" s="17" t="s">
        <v>21</v>
      </c>
      <c r="C21" s="19">
        <v>14649.8570956678</v>
      </c>
      <c r="E21" s="17" t="s">
        <v>21</v>
      </c>
      <c r="F21" s="19">
        <v>16383.2348166872</v>
      </c>
    </row>
    <row r="22" spans="2:6" x14ac:dyDescent="0.25">
      <c r="B22" s="17" t="s">
        <v>22</v>
      </c>
      <c r="C22" s="19">
        <v>14706.2847671896</v>
      </c>
      <c r="E22" s="17" t="s">
        <v>22</v>
      </c>
      <c r="F22" s="19">
        <v>17482.2488309951</v>
      </c>
    </row>
    <row r="23" spans="2:6" x14ac:dyDescent="0.25">
      <c r="B23" s="17" t="s">
        <v>23</v>
      </c>
      <c r="C23" s="19">
        <v>17694.499160826701</v>
      </c>
      <c r="E23" s="17" t="s">
        <v>23</v>
      </c>
      <c r="F23" s="19">
        <v>18513.715866606301</v>
      </c>
    </row>
    <row r="24" spans="2:6" x14ac:dyDescent="0.25">
      <c r="B24" s="17" t="s">
        <v>24</v>
      </c>
      <c r="C24" s="19">
        <v>16931.303576168899</v>
      </c>
      <c r="E24" s="17" t="s">
        <v>24</v>
      </c>
      <c r="F24" s="19">
        <v>18099.797401891599</v>
      </c>
    </row>
    <row r="25" spans="2:6" x14ac:dyDescent="0.25">
      <c r="B25" s="17" t="s">
        <v>25</v>
      </c>
      <c r="C25" s="19">
        <v>15334.936829153299</v>
      </c>
      <c r="E25" s="17" t="s">
        <v>25</v>
      </c>
      <c r="F25" s="19">
        <v>16057.3756926572</v>
      </c>
    </row>
    <row r="26" spans="2:6" x14ac:dyDescent="0.25">
      <c r="B26" s="17" t="s">
        <v>26</v>
      </c>
      <c r="C26" s="19">
        <v>17561.433352172098</v>
      </c>
      <c r="E26" s="17" t="s">
        <v>26</v>
      </c>
      <c r="F26" s="19">
        <v>14674.881126616299</v>
      </c>
    </row>
    <row r="27" spans="2:6" x14ac:dyDescent="0.25">
      <c r="B27" s="17" t="s">
        <v>27</v>
      </c>
      <c r="C27" s="19">
        <v>16832.934670828501</v>
      </c>
      <c r="E27" s="17" t="s">
        <v>27</v>
      </c>
      <c r="F27" s="19">
        <v>16540.656682672699</v>
      </c>
    </row>
    <row r="28" spans="2:6" x14ac:dyDescent="0.25">
      <c r="B28" s="17" t="s">
        <v>28</v>
      </c>
      <c r="C28" s="19">
        <v>15719.5454581862</v>
      </c>
      <c r="E28" s="17" t="s">
        <v>28</v>
      </c>
      <c r="F28" s="19">
        <v>15663.838996680101</v>
      </c>
    </row>
    <row r="29" spans="2:6" x14ac:dyDescent="0.25">
      <c r="B29" s="17" t="s">
        <v>29</v>
      </c>
      <c r="C29" s="19">
        <v>18384.998650149599</v>
      </c>
      <c r="E29" s="17" t="s">
        <v>29</v>
      </c>
      <c r="F29" s="19">
        <v>15958.2436584076</v>
      </c>
    </row>
    <row r="30" spans="2:6" x14ac:dyDescent="0.25">
      <c r="B30" s="17" t="s">
        <v>30</v>
      </c>
      <c r="C30" s="19">
        <v>14786.337283184301</v>
      </c>
      <c r="E30" s="17" t="s">
        <v>30</v>
      </c>
      <c r="F30" s="19">
        <v>14710.861974694701</v>
      </c>
    </row>
    <row r="31" spans="2:6" x14ac:dyDescent="0.25">
      <c r="B31" s="17" t="s">
        <v>31</v>
      </c>
      <c r="C31" s="19">
        <v>24240.2343340691</v>
      </c>
      <c r="E31" s="17" t="s">
        <v>31</v>
      </c>
      <c r="F31" s="19">
        <v>24097.1463023752</v>
      </c>
    </row>
    <row r="32" spans="2:6" x14ac:dyDescent="0.25">
      <c r="B32" s="17" t="s">
        <v>32</v>
      </c>
      <c r="C32" s="19">
        <v>15335.141473019799</v>
      </c>
      <c r="E32" s="17" t="s">
        <v>32</v>
      </c>
      <c r="F32" s="19">
        <v>17371.870685351299</v>
      </c>
    </row>
    <row r="33" spans="2:6" x14ac:dyDescent="0.25">
      <c r="B33" s="17" t="s">
        <v>33</v>
      </c>
      <c r="C33" s="19">
        <v>16542.5416795118</v>
      </c>
      <c r="E33" s="17" t="s">
        <v>33</v>
      </c>
      <c r="F33" s="19">
        <v>16261.4962096422</v>
      </c>
    </row>
    <row r="34" spans="2:6" x14ac:dyDescent="0.25">
      <c r="B34" s="17" t="s">
        <v>34</v>
      </c>
      <c r="C34" s="19">
        <v>17433.838060001399</v>
      </c>
      <c r="E34" s="17" t="s">
        <v>34</v>
      </c>
      <c r="F34" s="19">
        <v>15631.648377476</v>
      </c>
    </row>
    <row r="35" spans="2:6" x14ac:dyDescent="0.25">
      <c r="B35" s="17" t="s">
        <v>35</v>
      </c>
      <c r="C35" s="19">
        <v>15752.4691032215</v>
      </c>
      <c r="E35" s="17" t="s">
        <v>35</v>
      </c>
      <c r="F35" s="19">
        <v>16149.8951534754</v>
      </c>
    </row>
    <row r="36" spans="2:6" x14ac:dyDescent="0.25">
      <c r="B36" s="17" t="s">
        <v>36</v>
      </c>
      <c r="C36" s="19">
        <v>14726.503420848199</v>
      </c>
      <c r="E36" s="17" t="s">
        <v>36</v>
      </c>
      <c r="F36" s="19">
        <v>16129.9874755413</v>
      </c>
    </row>
    <row r="37" spans="2:6" x14ac:dyDescent="0.25">
      <c r="B37" s="17" t="s">
        <v>37</v>
      </c>
      <c r="C37" s="19">
        <v>14245.493747807701</v>
      </c>
      <c r="E37" s="17" t="s">
        <v>37</v>
      </c>
      <c r="F37" s="19">
        <v>16734.524517749102</v>
      </c>
    </row>
    <row r="38" spans="2:6" x14ac:dyDescent="0.25">
      <c r="B38" s="17" t="s">
        <v>38</v>
      </c>
      <c r="C38" s="19">
        <v>16497.7004791131</v>
      </c>
      <c r="E38" s="17" t="s">
        <v>38</v>
      </c>
      <c r="F38" s="19">
        <v>14159.4912192015</v>
      </c>
    </row>
    <row r="39" spans="2:6" x14ac:dyDescent="0.25">
      <c r="B39" s="17" t="s">
        <v>39</v>
      </c>
      <c r="C39" s="19">
        <v>15834.194178298299</v>
      </c>
      <c r="E39" s="17" t="s">
        <v>39</v>
      </c>
      <c r="F39" s="19">
        <v>16993.276297308701</v>
      </c>
    </row>
    <row r="40" spans="2:6" x14ac:dyDescent="0.25">
      <c r="B40" s="17" t="s">
        <v>40</v>
      </c>
      <c r="C40" s="19">
        <v>13859.7979023672</v>
      </c>
      <c r="E40" s="17" t="s">
        <v>40</v>
      </c>
      <c r="F40" s="19">
        <v>16958.375404747901</v>
      </c>
    </row>
    <row r="41" spans="2:6" x14ac:dyDescent="0.25">
      <c r="B41" s="17" t="s">
        <v>41</v>
      </c>
      <c r="C41" s="19">
        <v>16261.4558181259</v>
      </c>
      <c r="E41" s="17" t="s">
        <v>41</v>
      </c>
      <c r="F41" s="19">
        <v>16095.6563312082</v>
      </c>
    </row>
    <row r="42" spans="2:6" x14ac:dyDescent="0.25">
      <c r="B42" s="17" t="s">
        <v>42</v>
      </c>
      <c r="C42" s="19">
        <v>15976.131090934001</v>
      </c>
      <c r="E42" s="17" t="s">
        <v>42</v>
      </c>
      <c r="F42" s="19">
        <v>15844.5795200595</v>
      </c>
    </row>
    <row r="43" spans="2:6" x14ac:dyDescent="0.25">
      <c r="B43" s="17" t="s">
        <v>43</v>
      </c>
      <c r="C43" s="19">
        <v>15641.140298743599</v>
      </c>
      <c r="E43" s="17" t="s">
        <v>43</v>
      </c>
      <c r="F43" s="19">
        <v>17090.225061418299</v>
      </c>
    </row>
    <row r="44" spans="2:6" x14ac:dyDescent="0.25">
      <c r="B44" s="17" t="s">
        <v>44</v>
      </c>
      <c r="C44" s="19">
        <v>13606.1730002069</v>
      </c>
      <c r="E44" s="17" t="s">
        <v>44</v>
      </c>
      <c r="F44" s="19">
        <v>17090.225061418299</v>
      </c>
    </row>
    <row r="45" spans="2:6" x14ac:dyDescent="0.25">
      <c r="B45" s="17" t="s">
        <v>45</v>
      </c>
      <c r="C45" s="19">
        <v>21562.8894684402</v>
      </c>
      <c r="E45" s="17" t="s">
        <v>45</v>
      </c>
      <c r="F45" s="19">
        <v>18886.434805297999</v>
      </c>
    </row>
    <row r="46" spans="2:6" x14ac:dyDescent="0.25">
      <c r="B46" t="s">
        <v>270</v>
      </c>
    </row>
    <row r="49" spans="2:4" x14ac:dyDescent="0.25">
      <c r="B49" s="148" t="s">
        <v>230</v>
      </c>
    </row>
    <row r="50" spans="2:4" x14ac:dyDescent="0.25">
      <c r="C50" s="139" t="s">
        <v>231</v>
      </c>
      <c r="D50" s="139" t="s">
        <v>232</v>
      </c>
    </row>
    <row r="51" spans="2:4" x14ac:dyDescent="0.25">
      <c r="B51" t="s">
        <v>9</v>
      </c>
      <c r="C51" s="150">
        <f>ПМД_Розрахунки!$AA$27</f>
        <v>0</v>
      </c>
      <c r="D51" s="149">
        <v>0.2</v>
      </c>
    </row>
    <row r="52" spans="2:4" x14ac:dyDescent="0.25">
      <c r="B52" t="s">
        <v>5</v>
      </c>
      <c r="C52" s="150">
        <f>ПМД_Розрахунки!$R$27</f>
        <v>0</v>
      </c>
      <c r="D52" s="149">
        <v>0.2</v>
      </c>
    </row>
    <row r="53" spans="2:4" x14ac:dyDescent="0.25">
      <c r="B53" t="s">
        <v>91</v>
      </c>
      <c r="C53" s="150">
        <f>ПМД_Розрахунки!$I$27</f>
        <v>0</v>
      </c>
      <c r="D53" s="149">
        <v>0.2</v>
      </c>
    </row>
    <row r="54" spans="2:4" x14ac:dyDescent="0.25">
      <c r="B54" t="s">
        <v>16</v>
      </c>
      <c r="C54" s="151">
        <f>ПМД_Розрахунки!$AA$13</f>
        <v>0</v>
      </c>
      <c r="D54" s="149">
        <v>0.1</v>
      </c>
    </row>
    <row r="55" spans="2:4" x14ac:dyDescent="0.25">
      <c r="B55" t="s">
        <v>89</v>
      </c>
      <c r="C55" s="151">
        <f>ПМД_Розрахунки!$R$13</f>
        <v>0</v>
      </c>
      <c r="D55" s="149">
        <v>0.1</v>
      </c>
    </row>
    <row r="56" spans="2:4" x14ac:dyDescent="0.25">
      <c r="B56" t="s">
        <v>6</v>
      </c>
      <c r="C56" s="150">
        <f>ПМД_Розрахунки!$I$13</f>
        <v>0</v>
      </c>
      <c r="D56" s="149">
        <v>0.2</v>
      </c>
    </row>
    <row r="60" spans="2:4" x14ac:dyDescent="0.25">
      <c r="B60" s="148" t="s">
        <v>233</v>
      </c>
    </row>
    <row r="61" spans="2:4" x14ac:dyDescent="0.25">
      <c r="C61" s="139" t="s">
        <v>231</v>
      </c>
      <c r="D61" s="139" t="s">
        <v>232</v>
      </c>
    </row>
    <row r="62" spans="2:4" x14ac:dyDescent="0.25">
      <c r="B62" t="s">
        <v>9</v>
      </c>
      <c r="C62" s="150">
        <f>CМД_Розрахунки!AA27</f>
        <v>0</v>
      </c>
      <c r="D62" s="149">
        <v>0.2</v>
      </c>
    </row>
    <row r="63" spans="2:4" x14ac:dyDescent="0.25">
      <c r="B63" t="s">
        <v>5</v>
      </c>
      <c r="C63" s="151">
        <f>CМД_Розрахунки!R27</f>
        <v>0</v>
      </c>
      <c r="D63" s="149">
        <v>0.2</v>
      </c>
    </row>
    <row r="64" spans="2:4" x14ac:dyDescent="0.25">
      <c r="B64" t="s">
        <v>91</v>
      </c>
      <c r="C64" s="150">
        <f>CМД_Розрахунки!I27</f>
        <v>0</v>
      </c>
      <c r="D64" s="149">
        <v>0.2</v>
      </c>
    </row>
    <row r="65" spans="2:4" x14ac:dyDescent="0.25">
      <c r="B65" t="s">
        <v>16</v>
      </c>
      <c r="C65" s="151">
        <f>CМД_Розрахунки!AA13</f>
        <v>0</v>
      </c>
      <c r="D65" s="149">
        <v>0.1</v>
      </c>
    </row>
    <row r="66" spans="2:4" x14ac:dyDescent="0.25">
      <c r="B66" t="s">
        <v>89</v>
      </c>
      <c r="C66" s="151">
        <f>CМД_Розрахунки!R13</f>
        <v>0</v>
      </c>
      <c r="D66" s="149">
        <v>0.1</v>
      </c>
    </row>
    <row r="67" spans="2:4" x14ac:dyDescent="0.25">
      <c r="B67" t="s">
        <v>6</v>
      </c>
      <c r="C67" s="150">
        <f>CМД_Розрахунки!I13</f>
        <v>0</v>
      </c>
      <c r="D67" s="149">
        <v>0.2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Аркуші</vt:lpstr>
      </vt:variant>
      <vt:variant>
        <vt:i4>8</vt:i4>
      </vt:variant>
    </vt:vector>
  </HeadingPairs>
  <TitlesOfParts>
    <vt:vector size="8" baseType="lpstr">
      <vt:lpstr>Титул</vt:lpstr>
      <vt:lpstr>ПМД_Вхідні_дані</vt:lpstr>
      <vt:lpstr>ПМД_Цільові_значення</vt:lpstr>
      <vt:lpstr>ПМД_Розрахунки</vt:lpstr>
      <vt:lpstr>СМД_Вхідні_дані</vt:lpstr>
      <vt:lpstr>CМД_Цільові_значення</vt:lpstr>
      <vt:lpstr>CМД_Розрахунки</vt:lpstr>
      <vt:lpstr>tech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2024-01-12T12:24:51Z</dcterms:created>
  <dcterms:modified xsi:type="dcterms:W3CDTF">2025-01-07T10:13:21Z</dcterms:modified>
  <cp:category/>
  <cp:contentStatus/>
</cp:coreProperties>
</file>